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Inputs" sheetId="2" state="visible" r:id="rId4"/>
    <sheet name="Matrix" sheetId="3" state="visible" r:id="rId5"/>
    <sheet name="GP Economics" sheetId="4" state="visible" r:id="rId6"/>
    <sheet name="Tier Outputs" sheetId="5" state="visible" r:id="rId7"/>
    <sheet name="Sensitivit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<sst xmlns="http://schemas.openxmlformats.org/spreadsheetml/2006/main" count="275" uniqueCount="229">
  <si>
    <t xml:space="preserve">Causara Decision Model</t>
  </si>
  <si>
    <t xml:space="preserve">Kai Golden participation proposal</t>
  </si>
  <si>
    <t xml:space="preserve">Purpose</t>
  </si>
  <si>
    <t xml:space="preserve">Dynamic financial model for the four-tier participation ladder. All inputs are adjustable on the Inputs sheet; downstream calculations update automatically.</t>
  </si>
  <si>
    <t xml:space="preserve">Structure</t>
  </si>
  <si>
    <t xml:space="preserve">Inputs</t>
  </si>
  <si>
    <t xml:space="preserve">All adjustable parameters: fund terms, MOIC, matrix splits, probabilities, discount rates, tier valuations, cheque structure.</t>
  </si>
  <si>
    <t xml:space="preserve">Matrix</t>
  </si>
  <si>
    <t xml:space="preserve">Contribution matrix showing how CEI and Hydra+Kardeshev capture GP economics per programme. Pulls splits from Inputs.</t>
  </si>
  <si>
    <t xml:space="preserve">GP Economics</t>
  </si>
  <si>
    <t xml:space="preserve">Per-programme calculation of Layer 1 fees and Layer 2 GP economics, with CEI / Causara share derived from the matrix.</t>
  </si>
  <si>
    <t xml:space="preserve">Tier Outputs</t>
  </si>
  <si>
    <t xml:space="preserve">Four-tier ladder showing underlying value, Kai's nominal at max stake, IRR on cash, and probability-weighted IRR for each tier.</t>
  </si>
  <si>
    <t xml:space="preserve">Sensitivity</t>
  </si>
  <si>
    <t xml:space="preserve">IRR sensitivity tables across MOIC, HUMAIN probability, and Causara global pipeline share.</t>
  </si>
  <si>
    <t xml:space="preserve">Color legend</t>
  </si>
  <si>
    <t xml:space="preserve">Blue text</t>
  </si>
  <si>
    <t xml:space="preserve">Hardcoded inputs. Change these to run scenarios.</t>
  </si>
  <si>
    <t xml:space="preserve">Black text</t>
  </si>
  <si>
    <t xml:space="preserve">Formulas and calculations. Do not edit; they update from inputs.</t>
  </si>
  <si>
    <t xml:space="preserve">Green text</t>
  </si>
  <si>
    <t xml:space="preserve">Cross-sheet links pulling values from another sheet in this workbook.</t>
  </si>
  <si>
    <t xml:space="preserve">Yellow fill</t>
  </si>
  <si>
    <t xml:space="preserve">Key assumptions worth attention. Adjust with care.</t>
  </si>
  <si>
    <t xml:space="preserve">Key sources</t>
  </si>
  <si>
    <t xml:space="preserve">[1]</t>
  </si>
  <si>
    <t xml:space="preserve">Co-GP Hydra Compute Capital Signed Document, 4 April 2026 (fund terms, programme structure)</t>
  </si>
  <si>
    <t xml:space="preserve">[2]</t>
  </si>
  <si>
    <t xml:space="preserve">Hydra Capital Strategy Deck, 2026 (utilisation data, MOIC sensitivity tables, track record)</t>
  </si>
  <si>
    <t xml:space="preserve">[3]</t>
  </si>
  <si>
    <t xml:space="preserve">MoM MCIT × HUMAIN × HKCE, 21 May 2026 (HUMAIN engagement status, proof of concept structure)</t>
  </si>
  <si>
    <t xml:space="preserve">[4]</t>
  </si>
  <si>
    <t xml:space="preserve">Hydra Bespoke Deployments documentation (capital stack mechanics)</t>
  </si>
  <si>
    <t xml:space="preserve">[5]</t>
  </si>
  <si>
    <t xml:space="preserve">BIS Bulletin 2026, Financing the AI Boom (macro context, capital flows)</t>
  </si>
  <si>
    <t xml:space="preserve">[6]</t>
  </si>
  <si>
    <t xml:space="preserve">Industry comparables: Petershill, Blue Owl Capital (formerly Dyal), Bonaccord Capital Partners (GP stake pricing benchmarks)</t>
  </si>
  <si>
    <t xml:space="preserve">Last updated</t>
  </si>
  <si>
    <t xml:space="preserve">May 2026  /  Causara internal use  /  Confidential</t>
  </si>
  <si>
    <t xml:space="preserve">All adjustable parameters. Change blue cells to run scenarios.</t>
  </si>
  <si>
    <t xml:space="preserve">FUND TERMS BY PROGRAMME</t>
  </si>
  <si>
    <t xml:space="preserve">Parameter</t>
  </si>
  <si>
    <t xml:space="preserve">Hydra Series A</t>
  </si>
  <si>
    <t xml:space="preserve">HUMAIN Series B</t>
  </si>
  <si>
    <t xml:space="preserve">Global Pipeline</t>
  </si>
  <si>
    <t xml:space="preserve">Source / rationale</t>
  </si>
  <si>
    <t xml:space="preserve">Equity per vehicle (USD M)</t>
  </si>
  <si>
    <t xml:space="preserve">Co-GP signed doc. Assumed for HUMAIN &amp; Global for consistency.</t>
  </si>
  <si>
    <t xml:space="preserve">Number of vehicles</t>
  </si>
  <si>
    <t xml:space="preserve">Series A: max 7 SPVs as discussed. HUMAIN: ~20 to reach USD 3bn target. Global: 50 vehicles at USD 149M ≈ USD 7.5bn equity (30% of USD 25bn pipeline).</t>
  </si>
  <si>
    <t xml:space="preserve">Management fee (annual)</t>
  </si>
  <si>
    <t xml:space="preserve">Simplified assumption. Signed Co-GP doc shows Series A 0.75% (carry-driven), Series B 1.00%. Adjust here to match actual.</t>
  </si>
  <si>
    <t xml:space="preserve">Preferred return (hurdle)</t>
  </si>
  <si>
    <t xml:space="preserve">Simplified at 8%. Signed Co-GP shows Series A 12%, Series B 8%. Adjust here.</t>
  </si>
  <si>
    <t xml:space="preserve">Carried interest</t>
  </si>
  <si>
    <t xml:space="preserve">20% across all programmes per signed Co-GP doc.</t>
  </si>
  <si>
    <t xml:space="preserve">Fund term (years)</t>
  </si>
  <si>
    <t xml:space="preserve">Simplified at 5yr. Signed Series A is 4yr; Series B implied 5yr.</t>
  </si>
  <si>
    <t xml:space="preserve">Base case MOIC</t>
  </si>
  <si>
    <t xml:space="preserve">Conservative simplified. Hydra Strategy Deck 'Market' scenario implies 2.2-2.5x for Series A and 1.75x for mezz credit. Adjust here for upside cases.</t>
  </si>
  <si>
    <t xml:space="preserve">Layer 1 fee rate (capital raise + origination)</t>
  </si>
  <si>
    <t xml:space="preserve">2-3% capital raise + 1-2% origination = ~4% blended. Industry standard for institutional placement.</t>
  </si>
  <si>
    <t xml:space="preserve">External partner share of Layer 1</t>
  </si>
  <si>
    <t xml:space="preserve">Flat 50% per direction. Causara retains 50% of L1 fees; external partners take the other half in exchange for raising capital.</t>
  </si>
  <si>
    <t xml:space="preserve">MATRIX WEIGHTS AND SPLITS</t>
  </si>
  <si>
    <t xml:space="preserve">Matrix weights (total = 100%)</t>
  </si>
  <si>
    <t xml:space="preserve">Foundation (ownership-aligned)</t>
  </si>
  <si>
    <t xml:space="preserve">60% baseline split by ownership</t>
  </si>
  <si>
    <t xml:space="preserve">Capital origination</t>
  </si>
  <si>
    <t xml:space="preserve">By raiser (performance, ex post)</t>
  </si>
  <si>
    <t xml:space="preserve">Offtake or guarantee origination</t>
  </si>
  <si>
    <t xml:space="preserve">By offtake bringer (performance, ex post)</t>
  </si>
  <si>
    <t xml:space="preserve">Sovereign / deal relationship</t>
  </si>
  <si>
    <t xml:space="preserve">By relationship holder (performance, ex post)</t>
  </si>
  <si>
    <t xml:space="preserve">Vehicle structuring</t>
  </si>
  <si>
    <t xml:space="preserve">Shared legal, tax, domicile work</t>
  </si>
  <si>
    <t xml:space="preserve">Asset operations</t>
  </si>
  <si>
    <t xml:space="preserve">Hydra operating platform (Brokkr)</t>
  </si>
  <si>
    <t xml:space="preserve">Foundation split (sums to Foundation Weight)</t>
  </si>
  <si>
    <t xml:space="preserve">Party</t>
  </si>
  <si>
    <t xml:space="preserve">Share of foundation</t>
  </si>
  <si>
    <t xml:space="preserve">Notes</t>
  </si>
  <si>
    <t xml:space="preserve">CEI</t>
  </si>
  <si>
    <t xml:space="preserve">20pp of total matrix (1/3 of 60pp foundation)</t>
  </si>
  <si>
    <t xml:space="preserve">Hydra + Kardeshev</t>
  </si>
  <si>
    <t xml:space="preserve">40pp of total matrix (2/3 of 60pp foundation)</t>
  </si>
  <si>
    <t xml:space="preserve">Performance splits per programme (CEI share)</t>
  </si>
  <si>
    <t xml:space="preserve">Performance item</t>
  </si>
  <si>
    <t xml:space="preserve">HUMAIN</t>
  </si>
  <si>
    <t xml:space="preserve">Logic</t>
  </si>
  <si>
    <t xml:space="preserve">50% across all per direction. HUMAIN provides guarantee not capital, so capital still raised from LPs.</t>
  </si>
  <si>
    <t xml:space="preserve">Series A: commercial offtake, Hydra-led. HUMAIN: CEI 80% (HUMAIN is offtaker, Brokkr delivers). Global: 50% average.</t>
  </si>
  <si>
    <t xml:space="preserve">HUMAIN: CEI 100% (sovereign channel). Series A and Global: limited sovereign exposure.</t>
  </si>
  <si>
    <t xml:space="preserve">Shared work; CEI 40% on structuring across all programmes.</t>
  </si>
  <si>
    <t xml:space="preserve">Hydra (Brokkr) operates 100% across all programmes.</t>
  </si>
  <si>
    <t xml:space="preserve">REALISATION PROBABILITIES</t>
  </si>
  <si>
    <t xml:space="preserve">3 first Hydra Compute SPVs</t>
  </si>
  <si>
    <t xml:space="preserve">Contracted, near-term, identified counterparties.</t>
  </si>
  <si>
    <t xml:space="preserve">4 additional Hydra Compute SPVs</t>
  </si>
  <si>
    <t xml:space="preserve">Pipeline identified, less contracted.</t>
  </si>
  <si>
    <t xml:space="preserve">HUMAIN programme (full USD 10bn)</t>
  </si>
  <si>
    <t xml:space="preserve">Post 21 May MoM. Decomposed: 95% engagement progresses × 65% POC closes × 50% scales to full. Weighted across POC-only and full-deploy scenarios.</t>
  </si>
  <si>
    <t xml:space="preserve">Global Pipeline (USD 25bn)</t>
  </si>
  <si>
    <t xml:space="preserve">Expected but not signed. Multi-year horizon. Conservative probability for unsigned pipeline.</t>
  </si>
  <si>
    <t xml:space="preserve">Intelligence / Advisory</t>
  </si>
  <si>
    <t xml:space="preserve">Operating today. Technology execution risk.</t>
  </si>
  <si>
    <t xml:space="preserve">DISCOUNT RATES (for risk-adjusted NPV)</t>
  </si>
  <si>
    <t xml:space="preserve">AI infrastructure equity. CoreWeave DDTL March 2026 priced senior debt around A3/A(low); equity layer typically 300-500bps above.</t>
  </si>
  <si>
    <t xml:space="preserve">Sovereign-backed with GCC execution premium. Higher than Series A due to deployment risk.</t>
  </si>
  <si>
    <t xml:space="preserve">Emerging manager / unsigned pipeline benchmark. Reflects execution risk on pipeline that is expected but not signed.</t>
  </si>
  <si>
    <t xml:space="preserve">Growth tech / SaaS-adjacent multiple. Reflects technology execution risk.</t>
  </si>
  <si>
    <t xml:space="preserve">REALISATION PERIODS (years to expected cash flow midpoint)</t>
  </si>
  <si>
    <t xml:space="preserve">5yr fund term; midpoint of distributions ~3yr.</t>
  </si>
  <si>
    <t xml:space="preserve">5yr fund term, later starting deployment.</t>
  </si>
  <si>
    <t xml:space="preserve">Speculative; longer horizon for unsigned pipeline.</t>
  </si>
  <si>
    <t xml:space="preserve">Operating business; mid-term realisation.</t>
  </si>
  <si>
    <t xml:space="preserve">HOLDCO STRUCTURE</t>
  </si>
  <si>
    <t xml:space="preserve">HoldCo share of CEI</t>
  </si>
  <si>
    <t xml:space="preserve">HoldCo owns 1/3 of CEI. HoldCo's share of GP economics = 1/3 of CEI's matrix share.</t>
  </si>
  <si>
    <t xml:space="preserve">Intelligence + Advisory value (USD M)</t>
  </si>
  <si>
    <t xml:space="preserve">Estimated nominal value of Causara's Intelligence and Advisory businesses. Paper value; recoverable through future revenue and exit.</t>
  </si>
  <si>
    <t xml:space="preserve">TIER STRUCTURE</t>
  </si>
  <si>
    <t xml:space="preserve">Tier 1</t>
  </si>
  <si>
    <t xml:space="preserve">Tier 2</t>
  </si>
  <si>
    <t xml:space="preserve">Tier 3</t>
  </si>
  <si>
    <t xml:space="preserve">Tier 4</t>
  </si>
  <si>
    <t xml:space="preserve">Scope</t>
  </si>
  <si>
    <t xml:space="preserve">3 Hydra SPVs</t>
  </si>
  <si>
    <t xml:space="preserve">7 Hydra SPVs</t>
  </si>
  <si>
    <t xml:space="preserve">7 Hydra + HUMAIN</t>
  </si>
  <si>
    <t xml:space="preserve">Full platform</t>
  </si>
  <si>
    <t xml:space="preserve">Cumulative scope across tiers.</t>
  </si>
  <si>
    <t xml:space="preserve">Entity</t>
  </si>
  <si>
    <t xml:space="preserve">HoldCo</t>
  </si>
  <si>
    <t xml:space="preserve">Causara</t>
  </si>
  <si>
    <t xml:space="preserve">Tier 4 is Causara equity; others are HoldCo equity.</t>
  </si>
  <si>
    <t xml:space="preserve">Valuation (USD M)</t>
  </si>
  <si>
    <t xml:space="preserve">Tier 4 repriced from USD 50M to USD 40M per probability-weighted analysis.</t>
  </si>
  <si>
    <t xml:space="preserve">Max cheque (USD M)</t>
  </si>
  <si>
    <t xml:space="preserve">Maximum total cheque (cash + deferred).</t>
  </si>
  <si>
    <t xml:space="preserve">Cash today (USD M)</t>
  </si>
  <si>
    <t xml:space="preserve">Cash portion paid at signing.</t>
  </si>
  <si>
    <t xml:space="preserve">Deferred (USD M)</t>
  </si>
  <si>
    <t xml:space="preserve">Deferred portion funded from distributions.</t>
  </si>
  <si>
    <t xml:space="preserve">Deferral window (years)</t>
  </si>
  <si>
    <t xml:space="preserve">Window for distributions to settle deferred balance.</t>
  </si>
  <si>
    <t xml:space="preserve">Max stake</t>
  </si>
  <si>
    <t xml:space="preserve">Calculated from cheque / valuation; Tier 4 capped at 30%.</t>
  </si>
  <si>
    <t xml:space="preserve">Realisation period (years)</t>
  </si>
  <si>
    <t xml:space="preserve">Investment horizon for IRR calculation.</t>
  </si>
  <si>
    <t xml:space="preserve">Contribution Matrix</t>
  </si>
  <si>
    <t xml:space="preserve">CEI share of GP economics per programme. Live from Inputs.</t>
  </si>
  <si>
    <t xml:space="preserve">Item</t>
  </si>
  <si>
    <t xml:space="preserve">Weight</t>
  </si>
  <si>
    <t xml:space="preserve">Hydra Series A (CEI)</t>
  </si>
  <si>
    <t xml:space="preserve">HUMAIN (CEI)</t>
  </si>
  <si>
    <t xml:space="preserve">Global Pipeline (Causara)</t>
  </si>
  <si>
    <t xml:space="preserve">20pp to CEI baseline.</t>
  </si>
  <si>
    <t xml:space="preserve">Performance-based. CEI raises 50% across all programmes.</t>
  </si>
  <si>
    <t xml:space="preserve">Series A: Hydra-led. HUMAIN: CEI 80%. Global: 50% average.</t>
  </si>
  <si>
    <t xml:space="preserve">HUMAIN: CEI 100% (sovereign channel). Series A &amp; Global: limited.</t>
  </si>
  <si>
    <t xml:space="preserve">Shared. CEI 40% across all programmes.</t>
  </si>
  <si>
    <t xml:space="preserve">Hydra 100% (Brokkr platform).</t>
  </si>
  <si>
    <t xml:space="preserve">TOTAL CEI / CAUSARA SHARE</t>
  </si>
  <si>
    <t xml:space="preserve">Sum across matrix. Foundation 20pp + performance contribution per programme.</t>
  </si>
  <si>
    <t xml:space="preserve">Note. Layer 1 fees (capital raise + origination) and Layer 2 GP economics (mgmt fee + carry) are both distributed through this matrix, net of external partner splits on Layer 1.</t>
  </si>
  <si>
    <t xml:space="preserve">GP Economics by Programme</t>
  </si>
  <si>
    <t xml:space="preserve">Layer 1 (transactional) + Layer 2 (recurring) economics per programme. Live from Inputs and Matrix.</t>
  </si>
  <si>
    <t xml:space="preserve">Calculation step</t>
  </si>
  <si>
    <t xml:space="preserve">Hydra 3 SPVs</t>
  </si>
  <si>
    <t xml:space="preserve">Hydra 7 SPVs</t>
  </si>
  <si>
    <t xml:space="preserve">Total equity raised (USD M)</t>
  </si>
  <si>
    <t xml:space="preserve">LAYER 2 — RECURRING GP ECONOMICS</t>
  </si>
  <si>
    <t xml:space="preserve">Mgmt fee (rate × term × equity)</t>
  </si>
  <si>
    <t xml:space="preserve">Carry (above hurdle, simplified)</t>
  </si>
  <si>
    <t xml:space="preserve">Total Layer 2 GP economics</t>
  </si>
  <si>
    <t xml:space="preserve">LAYER 1 — TRANSACTIONAL FEES</t>
  </si>
  <si>
    <t xml:space="preserve">Gross Layer 1 fees (% × equity)</t>
  </si>
  <si>
    <t xml:space="preserve">Net Layer 1 (after external partner split)</t>
  </si>
  <si>
    <t xml:space="preserve">TOTAL GP ECONOMICS (Layer 1 + Layer 2)</t>
  </si>
  <si>
    <t xml:space="preserve">MATRIX APPLICATION</t>
  </si>
  <si>
    <t xml:space="preserve">Matrix share (CEI / Causara)</t>
  </si>
  <si>
    <t xml:space="preserve">CEI / Causara share of GP economics</t>
  </si>
  <si>
    <t xml:space="preserve">HoldCo share (1/3 of CEI) — HCC programmes</t>
  </si>
  <si>
    <t xml:space="preserve">n/a — Causara direct</t>
  </si>
  <si>
    <t xml:space="preserve">VALUE TO TIER ENTITY</t>
  </si>
  <si>
    <t xml:space="preserve">Value to HoldCo / Causara (USD M)</t>
  </si>
  <si>
    <t xml:space="preserve">Four-tier ladder with base case and probability-weighted views. Live from all upstream inputs.</t>
  </si>
  <si>
    <t xml:space="preserve">Metric</t>
  </si>
  <si>
    <t xml:space="preserve">3 Hydra</t>
  </si>
  <si>
    <t xml:space="preserve">7 Hydra</t>
  </si>
  <si>
    <t xml:space="preserve">BASE CASE (assumes all programmes close at full MOIC)</t>
  </si>
  <si>
    <t xml:space="preserve">Underlying value (HoldCo / Causara)</t>
  </si>
  <si>
    <t xml:space="preserve">Kai's nominal at max stake</t>
  </si>
  <si>
    <t xml:space="preserve">Total cheque (cash + deferred)</t>
  </si>
  <si>
    <t xml:space="preserve">Net to Kai (nominal − cheque)</t>
  </si>
  <si>
    <t xml:space="preserve">Realisation period</t>
  </si>
  <si>
    <t xml:space="preserve">IRR ON CASH (BASE CASE)</t>
  </si>
  <si>
    <t xml:space="preserve">PROBABILITY-WEIGHTED VIEW (after realisation probabilities)</t>
  </si>
  <si>
    <t xml:space="preserve">Probability-weighted underlying value</t>
  </si>
  <si>
    <t xml:space="preserve">Kai's nominal (prob-weighted)</t>
  </si>
  <si>
    <t xml:space="preserve">Net (nominal − cheque)</t>
  </si>
  <si>
    <t xml:space="preserve">IRR ON CASH (PROBABILITY-WEIGHTED)</t>
  </si>
  <si>
    <t xml:space="preserve">RISK-ADJUSTED NPV (industry-standard private markets methodology)</t>
  </si>
  <si>
    <t xml:space="preserve">Risk-adjusted NPV (USD M)</t>
  </si>
  <si>
    <t xml:space="preserve">Valuation as % of NPV</t>
  </si>
  <si>
    <t xml:space="preserve">Industry benchmark zone</t>
  </si>
  <si>
    <t xml:space="preserve">Sensitivity Analysis</t>
  </si>
  <si>
    <t xml:space="preserve">Static IRR snapshots at alternative input values. To run live scenarios, change inputs on the Inputs sheet.</t>
  </si>
  <si>
    <t xml:space="preserve">IRR sensitivity to MOIC (Hydra Series A and HUMAIN moved together)</t>
  </si>
  <si>
    <t xml:space="preserve">MOIC scenario</t>
  </si>
  <si>
    <t xml:space="preserve">Conservative (1.2x)</t>
  </si>
  <si>
    <t xml:space="preserve">Bear case (1.3x)</t>
  </si>
  <si>
    <t xml:space="preserve">Base case (1.5x)</t>
  </si>
  <si>
    <t xml:space="preserve">Hydra Market (1.75x)</t>
  </si>
  <si>
    <t xml:space="preserve">Upside (2.0x)</t>
  </si>
  <si>
    <t xml:space="preserve">Hydra Upside (2.2x)</t>
  </si>
  <si>
    <t xml:space="preserve">Note: figures are illustrative at current matrix splits and probability assumptions. To run dynamically, change MOIC inputs on the Inputs sheet.</t>
  </si>
  <si>
    <t xml:space="preserve">IRR sensitivity to HUMAIN realisation probability</t>
  </si>
  <si>
    <t xml:space="preserve">HUMAIN probability</t>
  </si>
  <si>
    <t xml:space="preserve">Tier 1 (no HUMAIN exposure)</t>
  </si>
  <si>
    <t xml:space="preserve">Tier 2 (no HUMAIN exposure)</t>
  </si>
  <si>
    <t xml:space="preserve">Tier 3 (HUMAIN heavy)</t>
  </si>
  <si>
    <t xml:space="preserve">Tier 4 (mixed)</t>
  </si>
  <si>
    <t xml:space="preserve">20% (downside)</t>
  </si>
  <si>
    <t xml:space="preserve">34% (post-MoM base)</t>
  </si>
  <si>
    <t xml:space="preserve">50% (POC success)</t>
  </si>
  <si>
    <t xml:space="preserve">70% (full deploy likely)</t>
  </si>
  <si>
    <t xml:space="preserve">90% (fully contracted)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</si>
</sst>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USD &quot;#,##0.0\M;&quot;(USD &quot;#,##0.0&quot;M)&quot;;\—"/>
    <numFmt numFmtId="166" formatCode="#,##0;\(#,##0\);\—"/>
    <numFmt numFmtId="167" formatCode="0.0%;\(0.0%\);\—"/>
    <numFmt numFmtId="168" formatCode="0&quot; yr&quot;"/>
    <numFmt numFmtId="169" formatCode="0.00\x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i val="true"/>
      <sz val="9"/>
      <color rgb="FF6D6257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ACD"/>
        <bgColor rgb="FFF7F2E8"/>
      </patternFill>
    </fill>
    <fill>
      <patternFill patternType="solid">
        <fgColor rgb="FF051C2C"/>
        <bgColor rgb="FF000000"/>
      </patternFill>
    </fill>
    <fill>
      <patternFill patternType="solid">
        <fgColor rgb="FFE0DAD1"/>
        <bgColor rgb="FFF7F2E8"/>
      </patternFill>
    </fill>
    <fill>
      <patternFill patternType="solid">
        <fgColor rgb="FFF7F2E8"/>
        <bgColor rgb="FFFFFAC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8AFA3"/>
      </left>
      <right style="thin">
        <color rgb="FFB8AFA3"/>
      </right>
      <top style="thin">
        <color rgb="FFB8AFA3"/>
      </top>
      <bottom style="thin">
        <color rgb="FFB8AFA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AFA3"/>
      <rgbColor rgb="FF808080"/>
      <rgbColor rgb="FF9999FF"/>
      <rgbColor rgb="FF993366"/>
      <rgbColor rgb="FFFFFACD"/>
      <rgbColor rgb="FFF7F2E8"/>
      <rgbColor rgb="FF660066"/>
      <rgbColor rgb="FFFF8080"/>
      <rgbColor rgb="FF0066CC"/>
      <rgbColor rgb="FFE0DA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D6257"/>
      <rgbColor rgb="FF969696"/>
      <rgbColor rgb="FF003366"/>
      <rgbColor rgb="FF339966"/>
      <rgbColor rgb="FF051C2C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90"/>
  </cols>
  <sheetData>
    <row r="2" customFormat="false" ht="17.3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28.35" hidden="false" customHeight="false" outlineLevel="0" collapsed="false">
      <c r="B5" s="3" t="s">
        <v>2</v>
      </c>
      <c r="C5" s="4" t="s">
        <v>3</v>
      </c>
    </row>
    <row r="7" customFormat="false" ht="15" hidden="false" customHeight="false" outlineLevel="0" collapsed="false">
      <c r="B7" s="3" t="s">
        <v>4</v>
      </c>
    </row>
    <row r="8" customFormat="false" ht="28.35" hidden="false" customHeight="false" outlineLevel="0" collapsed="false">
      <c r="B8" s="5" t="s">
        <v>5</v>
      </c>
      <c r="C8" s="4" t="s">
        <v>6</v>
      </c>
    </row>
    <row r="9" customFormat="false" ht="28.35" hidden="false" customHeight="false" outlineLevel="0" collapsed="false">
      <c r="B9" s="5" t="s">
        <v>7</v>
      </c>
      <c r="C9" s="4" t="s">
        <v>8</v>
      </c>
    </row>
    <row r="10" customFormat="false" ht="28.35" hidden="false" customHeight="false" outlineLevel="0" collapsed="false">
      <c r="B10" s="5" t="s">
        <v>9</v>
      </c>
      <c r="C10" s="4" t="s">
        <v>10</v>
      </c>
    </row>
    <row r="11" customFormat="false" ht="28.35" hidden="false" customHeight="false" outlineLevel="0" collapsed="false">
      <c r="B11" s="5" t="s">
        <v>11</v>
      </c>
      <c r="C11" s="4" t="s">
        <v>12</v>
      </c>
    </row>
    <row r="12" customFormat="false" ht="15" hidden="false" customHeight="false" outlineLevel="0" collapsed="false">
      <c r="B12" s="5" t="s">
        <v>13</v>
      </c>
      <c r="C12" s="4" t="s">
        <v>14</v>
      </c>
    </row>
    <row r="14" customFormat="false" ht="15" hidden="false" customHeight="false" outlineLevel="0" collapsed="false">
      <c r="B14" s="3" t="s">
        <v>15</v>
      </c>
    </row>
    <row r="15" customFormat="false" ht="15" hidden="false" customHeight="false" outlineLevel="0" collapsed="false">
      <c r="B15" s="6" t="s">
        <v>16</v>
      </c>
      <c r="C15" s="4" t="s">
        <v>17</v>
      </c>
    </row>
    <row r="16" customFormat="false" ht="15" hidden="false" customHeight="false" outlineLevel="0" collapsed="false">
      <c r="B16" s="5" t="s">
        <v>18</v>
      </c>
      <c r="C16" s="4" t="s">
        <v>19</v>
      </c>
    </row>
    <row r="17" customFormat="false" ht="15" hidden="false" customHeight="false" outlineLevel="0" collapsed="false">
      <c r="B17" s="7" t="s">
        <v>20</v>
      </c>
      <c r="C17" s="4" t="s">
        <v>21</v>
      </c>
    </row>
    <row r="18" customFormat="false" ht="15" hidden="false" customHeight="false" outlineLevel="0" collapsed="false">
      <c r="B18" s="8" t="s">
        <v>22</v>
      </c>
      <c r="C18" s="4" t="s">
        <v>23</v>
      </c>
    </row>
    <row r="20" customFormat="false" ht="15" hidden="false" customHeight="false" outlineLevel="0" collapsed="false">
      <c r="B20" s="3" t="s">
        <v>24</v>
      </c>
    </row>
    <row r="21" customFormat="false" ht="15" hidden="false" customHeight="false" outlineLevel="0" collapsed="false">
      <c r="B21" s="2" t="s">
        <v>25</v>
      </c>
      <c r="C21" s="9" t="s">
        <v>26</v>
      </c>
    </row>
    <row r="22" customFormat="false" ht="15" hidden="false" customHeight="false" outlineLevel="0" collapsed="false">
      <c r="B22" s="2" t="s">
        <v>27</v>
      </c>
      <c r="C22" s="9" t="s">
        <v>28</v>
      </c>
    </row>
    <row r="23" customFormat="false" ht="15" hidden="false" customHeight="false" outlineLevel="0" collapsed="false">
      <c r="B23" s="2" t="s">
        <v>29</v>
      </c>
      <c r="C23" s="9" t="s">
        <v>30</v>
      </c>
    </row>
    <row r="24" customFormat="false" ht="15" hidden="false" customHeight="false" outlineLevel="0" collapsed="false">
      <c r="B24" s="2" t="s">
        <v>31</v>
      </c>
      <c r="C24" s="9" t="s">
        <v>32</v>
      </c>
    </row>
    <row r="25" customFormat="false" ht="15" hidden="false" customHeight="false" outlineLevel="0" collapsed="false">
      <c r="B25" s="2" t="s">
        <v>33</v>
      </c>
      <c r="C25" s="9" t="s">
        <v>34</v>
      </c>
    </row>
    <row r="26" customFormat="false" ht="22.35" hidden="false" customHeight="false" outlineLevel="0" collapsed="false">
      <c r="B26" s="2" t="s">
        <v>35</v>
      </c>
      <c r="C26" s="9" t="s">
        <v>36</v>
      </c>
    </row>
    <row r="28" customFormat="false" ht="15" hidden="false" customHeight="false" outlineLevel="0" collapsed="false">
      <c r="B28" s="3" t="s">
        <v>37</v>
      </c>
      <c r="C28" s="2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5" min="3" style="0" width="14"/>
    <col collapsed="false" customWidth="true" hidden="false" outlineLevel="0" max="6" min="6" style="0" width="40"/>
    <col collapsed="false" customWidth="true" hidden="false" outlineLevel="0" max="7" min="7" style="0" width="35"/>
  </cols>
  <sheetData>
    <row r="2" customFormat="false" ht="17.35" hidden="false" customHeight="false" outlineLevel="0" collapsed="false">
      <c r="B2" s="1" t="s">
        <v>5</v>
      </c>
    </row>
    <row r="3" customFormat="false" ht="15" hidden="false" customHeight="false" outlineLevel="0" collapsed="false">
      <c r="B3" s="2" t="s">
        <v>39</v>
      </c>
    </row>
    <row r="5" customFormat="false" ht="15" hidden="false" customHeight="false" outlineLevel="0" collapsed="false">
      <c r="B5" s="10" t="s">
        <v>40</v>
      </c>
      <c r="C5" s="11"/>
      <c r="D5" s="11"/>
      <c r="E5" s="11"/>
      <c r="F5" s="11"/>
    </row>
    <row r="6" customFormat="false" ht="15" hidden="false" customHeight="false" outlineLevel="0" collapsed="false">
      <c r="B6" s="12" t="s">
        <v>41</v>
      </c>
      <c r="C6" s="13" t="s">
        <v>42</v>
      </c>
      <c r="D6" s="13" t="s">
        <v>43</v>
      </c>
      <c r="E6" s="13" t="s">
        <v>44</v>
      </c>
      <c r="F6" s="12" t="s">
        <v>45</v>
      </c>
    </row>
    <row r="7" customFormat="false" ht="22.35" hidden="false" customHeight="false" outlineLevel="0" collapsed="false">
      <c r="B7" s="14" t="s">
        <v>46</v>
      </c>
      <c r="C7" s="15" t="n">
        <v>149</v>
      </c>
      <c r="D7" s="15" t="n">
        <v>149</v>
      </c>
      <c r="E7" s="15" t="n">
        <v>149</v>
      </c>
      <c r="F7" s="9" t="s">
        <v>47</v>
      </c>
    </row>
    <row r="8" customFormat="false" ht="43.25" hidden="false" customHeight="false" outlineLevel="0" collapsed="false">
      <c r="B8" s="14" t="s">
        <v>48</v>
      </c>
      <c r="C8" s="16" t="n">
        <v>7</v>
      </c>
      <c r="D8" s="16" t="n">
        <v>20</v>
      </c>
      <c r="E8" s="16" t="n">
        <v>50</v>
      </c>
      <c r="F8" s="9" t="s">
        <v>49</v>
      </c>
    </row>
    <row r="9" customFormat="false" ht="32.8" hidden="false" customHeight="false" outlineLevel="0" collapsed="false">
      <c r="B9" s="14" t="s">
        <v>50</v>
      </c>
      <c r="C9" s="17" t="n">
        <v>0.015</v>
      </c>
      <c r="D9" s="17" t="n">
        <v>0.015</v>
      </c>
      <c r="E9" s="17" t="n">
        <v>0.015</v>
      </c>
      <c r="F9" s="9" t="s">
        <v>51</v>
      </c>
    </row>
    <row r="10" customFormat="false" ht="22.35" hidden="false" customHeight="false" outlineLevel="0" collapsed="false">
      <c r="B10" s="14" t="s">
        <v>52</v>
      </c>
      <c r="C10" s="17" t="n">
        <v>0.08</v>
      </c>
      <c r="D10" s="17" t="n">
        <v>0.08</v>
      </c>
      <c r="E10" s="17" t="n">
        <v>0.08</v>
      </c>
      <c r="F10" s="9" t="s">
        <v>53</v>
      </c>
    </row>
    <row r="11" customFormat="false" ht="15" hidden="false" customHeight="false" outlineLevel="0" collapsed="false">
      <c r="B11" s="14" t="s">
        <v>54</v>
      </c>
      <c r="C11" s="17" t="n">
        <v>0.2</v>
      </c>
      <c r="D11" s="17" t="n">
        <v>0.2</v>
      </c>
      <c r="E11" s="17" t="n">
        <v>0.2</v>
      </c>
      <c r="F11" s="9" t="s">
        <v>55</v>
      </c>
    </row>
    <row r="12" customFormat="false" ht="22.35" hidden="false" customHeight="false" outlineLevel="0" collapsed="false">
      <c r="B12" s="14" t="s">
        <v>56</v>
      </c>
      <c r="C12" s="18" t="n">
        <v>5</v>
      </c>
      <c r="D12" s="18" t="n">
        <v>5</v>
      </c>
      <c r="E12" s="18" t="n">
        <v>5</v>
      </c>
      <c r="F12" s="9" t="s">
        <v>57</v>
      </c>
    </row>
    <row r="13" customFormat="false" ht="32.8" hidden="false" customHeight="false" outlineLevel="0" collapsed="false">
      <c r="B13" s="14" t="s">
        <v>58</v>
      </c>
      <c r="C13" s="19" t="n">
        <v>1.5</v>
      </c>
      <c r="D13" s="19" t="n">
        <v>1.5</v>
      </c>
      <c r="E13" s="19" t="n">
        <v>1.5</v>
      </c>
      <c r="F13" s="9" t="s">
        <v>59</v>
      </c>
    </row>
    <row r="14" customFormat="false" ht="22.35" hidden="false" customHeight="false" outlineLevel="0" collapsed="false">
      <c r="B14" s="14" t="s">
        <v>60</v>
      </c>
      <c r="C14" s="17" t="n">
        <v>0.04</v>
      </c>
      <c r="D14" s="17" t="n">
        <v>0.04</v>
      </c>
      <c r="E14" s="17" t="n">
        <v>0.04</v>
      </c>
      <c r="F14" s="9" t="s">
        <v>61</v>
      </c>
    </row>
    <row r="15" customFormat="false" ht="32.8" hidden="false" customHeight="false" outlineLevel="0" collapsed="false">
      <c r="B15" s="14" t="s">
        <v>62</v>
      </c>
      <c r="C15" s="17" t="n">
        <v>0.5</v>
      </c>
      <c r="D15" s="17" t="n">
        <v>0.5</v>
      </c>
      <c r="E15" s="17" t="n">
        <v>0.5</v>
      </c>
      <c r="F15" s="9" t="s">
        <v>63</v>
      </c>
    </row>
    <row r="18" customFormat="false" ht="15" hidden="false" customHeight="false" outlineLevel="0" collapsed="false">
      <c r="B18" s="10" t="s">
        <v>64</v>
      </c>
      <c r="C18" s="11"/>
      <c r="D18" s="11"/>
      <c r="E18" s="11"/>
      <c r="F18" s="11"/>
    </row>
    <row r="19" customFormat="false" ht="15" hidden="false" customHeight="false" outlineLevel="0" collapsed="false">
      <c r="B19" s="20" t="s">
        <v>65</v>
      </c>
      <c r="C19" s="21"/>
      <c r="D19" s="21"/>
      <c r="E19" s="21"/>
      <c r="F19" s="21"/>
    </row>
    <row r="20" customFormat="false" ht="15" hidden="false" customHeight="false" outlineLevel="0" collapsed="false">
      <c r="B20" s="14" t="s">
        <v>66</v>
      </c>
      <c r="C20" s="17" t="n">
        <v>0.6</v>
      </c>
      <c r="F20" s="9" t="s">
        <v>67</v>
      </c>
    </row>
    <row r="21" customFormat="false" ht="15" hidden="false" customHeight="false" outlineLevel="0" collapsed="false">
      <c r="B21" s="14" t="s">
        <v>68</v>
      </c>
      <c r="C21" s="17" t="n">
        <v>0.15</v>
      </c>
      <c r="F21" s="9" t="s">
        <v>69</v>
      </c>
    </row>
    <row r="22" customFormat="false" ht="15" hidden="false" customHeight="false" outlineLevel="0" collapsed="false">
      <c r="B22" s="14" t="s">
        <v>70</v>
      </c>
      <c r="C22" s="17" t="n">
        <v>0.1</v>
      </c>
      <c r="F22" s="9" t="s">
        <v>71</v>
      </c>
    </row>
    <row r="23" customFormat="false" ht="15" hidden="false" customHeight="false" outlineLevel="0" collapsed="false">
      <c r="B23" s="14" t="s">
        <v>72</v>
      </c>
      <c r="C23" s="17" t="n">
        <v>0.05</v>
      </c>
      <c r="F23" s="9" t="s">
        <v>73</v>
      </c>
    </row>
    <row r="24" customFormat="false" ht="15" hidden="false" customHeight="false" outlineLevel="0" collapsed="false">
      <c r="B24" s="14" t="s">
        <v>74</v>
      </c>
      <c r="C24" s="17" t="n">
        <v>0.05</v>
      </c>
      <c r="F24" s="9" t="s">
        <v>75</v>
      </c>
    </row>
    <row r="25" customFormat="false" ht="15" hidden="false" customHeight="false" outlineLevel="0" collapsed="false">
      <c r="B25" s="14" t="s">
        <v>76</v>
      </c>
      <c r="C25" s="17" t="n">
        <v>0.05</v>
      </c>
      <c r="F25" s="9" t="s">
        <v>77</v>
      </c>
    </row>
    <row r="27" customFormat="false" ht="15" hidden="false" customHeight="false" outlineLevel="0" collapsed="false">
      <c r="B27" s="20" t="s">
        <v>78</v>
      </c>
      <c r="C27" s="21"/>
      <c r="D27" s="21"/>
      <c r="E27" s="21"/>
      <c r="F27" s="21"/>
    </row>
    <row r="28" customFormat="false" ht="15" hidden="false" customHeight="false" outlineLevel="0" collapsed="false">
      <c r="B28" s="22" t="s">
        <v>79</v>
      </c>
      <c r="C28" s="23" t="s">
        <v>80</v>
      </c>
      <c r="F28" s="22" t="s">
        <v>81</v>
      </c>
    </row>
    <row r="29" customFormat="false" ht="15" hidden="false" customHeight="false" outlineLevel="0" collapsed="false">
      <c r="B29" s="14" t="s">
        <v>82</v>
      </c>
      <c r="C29" s="17" t="n">
        <v>0.333333333333333</v>
      </c>
      <c r="F29" s="2" t="s">
        <v>83</v>
      </c>
    </row>
    <row r="30" customFormat="false" ht="15" hidden="false" customHeight="false" outlineLevel="0" collapsed="false">
      <c r="B30" s="14" t="s">
        <v>84</v>
      </c>
      <c r="C30" s="17" t="n">
        <v>0.666666666666667</v>
      </c>
      <c r="F30" s="2" t="s">
        <v>85</v>
      </c>
    </row>
    <row r="32" customFormat="false" ht="15" hidden="false" customHeight="false" outlineLevel="0" collapsed="false">
      <c r="B32" s="20" t="s">
        <v>86</v>
      </c>
      <c r="C32" s="21"/>
      <c r="D32" s="21"/>
      <c r="E32" s="21"/>
      <c r="F32" s="21"/>
    </row>
    <row r="33" customFormat="false" ht="15" hidden="false" customHeight="false" outlineLevel="0" collapsed="false">
      <c r="B33" s="22" t="s">
        <v>87</v>
      </c>
      <c r="C33" s="23" t="s">
        <v>42</v>
      </c>
      <c r="D33" s="23" t="s">
        <v>88</v>
      </c>
      <c r="E33" s="23" t="s">
        <v>44</v>
      </c>
      <c r="F33" s="22" t="s">
        <v>89</v>
      </c>
    </row>
    <row r="34" customFormat="false" ht="22.35" hidden="false" customHeight="false" outlineLevel="0" collapsed="false">
      <c r="B34" s="14" t="s">
        <v>68</v>
      </c>
      <c r="C34" s="17" t="n">
        <v>0.5</v>
      </c>
      <c r="D34" s="17" t="n">
        <v>0.5</v>
      </c>
      <c r="E34" s="17" t="n">
        <v>0.5</v>
      </c>
      <c r="F34" s="9" t="s">
        <v>90</v>
      </c>
    </row>
    <row r="35" customFormat="false" ht="32.8" hidden="false" customHeight="false" outlineLevel="0" collapsed="false">
      <c r="B35" s="14" t="s">
        <v>70</v>
      </c>
      <c r="C35" s="17" t="n">
        <v>0.2</v>
      </c>
      <c r="D35" s="17" t="n">
        <v>0.8</v>
      </c>
      <c r="E35" s="17" t="n">
        <v>0.5</v>
      </c>
      <c r="F35" s="9" t="s">
        <v>91</v>
      </c>
    </row>
    <row r="36" customFormat="false" ht="22.35" hidden="false" customHeight="false" outlineLevel="0" collapsed="false">
      <c r="B36" s="14" t="s">
        <v>72</v>
      </c>
      <c r="C36" s="17" t="n">
        <v>0.2</v>
      </c>
      <c r="D36" s="17" t="n">
        <v>1</v>
      </c>
      <c r="E36" s="17" t="n">
        <v>0.2</v>
      </c>
      <c r="F36" s="9" t="s">
        <v>92</v>
      </c>
    </row>
    <row r="37" customFormat="false" ht="22.35" hidden="false" customHeight="false" outlineLevel="0" collapsed="false">
      <c r="B37" s="14" t="s">
        <v>74</v>
      </c>
      <c r="C37" s="17" t="n">
        <v>0.4</v>
      </c>
      <c r="D37" s="17" t="n">
        <v>0.4</v>
      </c>
      <c r="E37" s="17" t="n">
        <v>0.4</v>
      </c>
      <c r="F37" s="9" t="s">
        <v>93</v>
      </c>
    </row>
    <row r="38" customFormat="false" ht="22.35" hidden="false" customHeight="false" outlineLevel="0" collapsed="false">
      <c r="B38" s="14" t="s">
        <v>76</v>
      </c>
      <c r="C38" s="17" t="n">
        <v>0</v>
      </c>
      <c r="D38" s="17" t="n">
        <v>0</v>
      </c>
      <c r="E38" s="17" t="n">
        <v>0</v>
      </c>
      <c r="F38" s="9" t="s">
        <v>94</v>
      </c>
    </row>
    <row r="40" customFormat="false" ht="15" hidden="false" customHeight="false" outlineLevel="0" collapsed="false">
      <c r="B40" s="10" t="s">
        <v>95</v>
      </c>
      <c r="C40" s="11"/>
      <c r="D40" s="11"/>
      <c r="E40" s="11"/>
      <c r="F40" s="11"/>
    </row>
    <row r="41" customFormat="false" ht="15" hidden="false" customHeight="false" outlineLevel="0" collapsed="false">
      <c r="B41" s="14" t="s">
        <v>96</v>
      </c>
      <c r="C41" s="24" t="n">
        <v>0.9</v>
      </c>
      <c r="F41" s="9" t="s">
        <v>97</v>
      </c>
    </row>
    <row r="42" customFormat="false" ht="15" hidden="false" customHeight="false" outlineLevel="0" collapsed="false">
      <c r="B42" s="14" t="s">
        <v>98</v>
      </c>
      <c r="C42" s="24" t="n">
        <v>0.75</v>
      </c>
      <c r="F42" s="9" t="s">
        <v>99</v>
      </c>
    </row>
    <row r="43" customFormat="false" ht="43.25" hidden="false" customHeight="false" outlineLevel="0" collapsed="false">
      <c r="B43" s="14" t="s">
        <v>100</v>
      </c>
      <c r="C43" s="24" t="n">
        <v>0.34</v>
      </c>
      <c r="F43" s="9" t="s">
        <v>101</v>
      </c>
    </row>
    <row r="44" customFormat="false" ht="22.35" hidden="false" customHeight="false" outlineLevel="0" collapsed="false">
      <c r="B44" s="14" t="s">
        <v>102</v>
      </c>
      <c r="C44" s="24" t="n">
        <v>0.25</v>
      </c>
      <c r="F44" s="9" t="s">
        <v>103</v>
      </c>
    </row>
    <row r="45" customFormat="false" ht="15" hidden="false" customHeight="false" outlineLevel="0" collapsed="false">
      <c r="B45" s="14" t="s">
        <v>104</v>
      </c>
      <c r="C45" s="24" t="n">
        <v>0.7</v>
      </c>
      <c r="F45" s="9" t="s">
        <v>105</v>
      </c>
    </row>
    <row r="47" customFormat="false" ht="15" hidden="false" customHeight="false" outlineLevel="0" collapsed="false">
      <c r="B47" s="10" t="s">
        <v>106</v>
      </c>
      <c r="C47" s="11"/>
      <c r="D47" s="11"/>
      <c r="E47" s="11"/>
      <c r="F47" s="11"/>
    </row>
    <row r="48" customFormat="false" ht="32.8" hidden="false" customHeight="false" outlineLevel="0" collapsed="false">
      <c r="B48" s="14" t="s">
        <v>42</v>
      </c>
      <c r="C48" s="17" t="n">
        <v>0.15</v>
      </c>
      <c r="F48" s="9" t="s">
        <v>107</v>
      </c>
    </row>
    <row r="49" customFormat="false" ht="22.35" hidden="false" customHeight="false" outlineLevel="0" collapsed="false">
      <c r="B49" s="14" t="s">
        <v>88</v>
      </c>
      <c r="C49" s="17" t="n">
        <v>0.18</v>
      </c>
      <c r="F49" s="9" t="s">
        <v>108</v>
      </c>
    </row>
    <row r="50" customFormat="false" ht="32.8" hidden="false" customHeight="false" outlineLevel="0" collapsed="false">
      <c r="B50" s="14" t="s">
        <v>44</v>
      </c>
      <c r="C50" s="17" t="n">
        <v>0.25</v>
      </c>
      <c r="F50" s="9" t="s">
        <v>109</v>
      </c>
    </row>
    <row r="51" customFormat="false" ht="22.35" hidden="false" customHeight="false" outlineLevel="0" collapsed="false">
      <c r="B51" s="14" t="s">
        <v>104</v>
      </c>
      <c r="C51" s="17" t="n">
        <v>0.2</v>
      </c>
      <c r="F51" s="9" t="s">
        <v>110</v>
      </c>
    </row>
    <row r="53" customFormat="false" ht="15" hidden="false" customHeight="false" outlineLevel="0" collapsed="false">
      <c r="B53" s="10" t="s">
        <v>111</v>
      </c>
      <c r="C53" s="11"/>
      <c r="D53" s="11"/>
      <c r="E53" s="11"/>
      <c r="F53" s="11"/>
    </row>
    <row r="54" customFormat="false" ht="15" hidden="false" customHeight="false" outlineLevel="0" collapsed="false">
      <c r="B54" s="14" t="s">
        <v>42</v>
      </c>
      <c r="C54" s="18" t="n">
        <v>3</v>
      </c>
      <c r="F54" s="2" t="s">
        <v>112</v>
      </c>
    </row>
    <row r="55" customFormat="false" ht="15" hidden="false" customHeight="false" outlineLevel="0" collapsed="false">
      <c r="B55" s="14" t="s">
        <v>88</v>
      </c>
      <c r="C55" s="18" t="n">
        <v>4</v>
      </c>
      <c r="F55" s="2" t="s">
        <v>113</v>
      </c>
    </row>
    <row r="56" customFormat="false" ht="15" hidden="false" customHeight="false" outlineLevel="0" collapsed="false">
      <c r="B56" s="14" t="s">
        <v>44</v>
      </c>
      <c r="C56" s="18" t="n">
        <v>6</v>
      </c>
      <c r="F56" s="2" t="s">
        <v>114</v>
      </c>
    </row>
    <row r="57" customFormat="false" ht="15" hidden="false" customHeight="false" outlineLevel="0" collapsed="false">
      <c r="B57" s="14" t="s">
        <v>104</v>
      </c>
      <c r="C57" s="18" t="n">
        <v>4</v>
      </c>
      <c r="F57" s="2" t="s">
        <v>115</v>
      </c>
    </row>
    <row r="59" customFormat="false" ht="15" hidden="false" customHeight="false" outlineLevel="0" collapsed="false">
      <c r="B59" s="10" t="s">
        <v>116</v>
      </c>
      <c r="C59" s="11"/>
      <c r="D59" s="11"/>
      <c r="E59" s="11"/>
      <c r="F59" s="11"/>
    </row>
    <row r="60" customFormat="false" ht="15" hidden="false" customHeight="false" outlineLevel="0" collapsed="false">
      <c r="B60" s="14" t="s">
        <v>117</v>
      </c>
      <c r="C60" s="17" t="n">
        <v>0.333333333333333</v>
      </c>
      <c r="F60" s="2" t="s">
        <v>118</v>
      </c>
    </row>
    <row r="61" customFormat="false" ht="15" hidden="false" customHeight="false" outlineLevel="0" collapsed="false">
      <c r="B61" s="14" t="s">
        <v>119</v>
      </c>
      <c r="C61" s="15" t="n">
        <v>30</v>
      </c>
      <c r="F61" s="2" t="s">
        <v>120</v>
      </c>
    </row>
    <row r="63" customFormat="false" ht="15" hidden="false" customHeight="false" outlineLevel="0" collapsed="false">
      <c r="B63" s="10" t="s">
        <v>121</v>
      </c>
      <c r="C63" s="11"/>
      <c r="D63" s="11"/>
      <c r="E63" s="11"/>
      <c r="F63" s="11"/>
    </row>
    <row r="64" customFormat="false" ht="15" hidden="false" customHeight="false" outlineLevel="0" collapsed="false">
      <c r="B64" s="12" t="s">
        <v>41</v>
      </c>
      <c r="C64" s="13" t="s">
        <v>122</v>
      </c>
      <c r="D64" s="13" t="s">
        <v>123</v>
      </c>
      <c r="E64" s="13" t="s">
        <v>124</v>
      </c>
      <c r="F64" s="13" t="s">
        <v>125</v>
      </c>
      <c r="G64" s="12" t="s">
        <v>81</v>
      </c>
    </row>
    <row r="65" customFormat="false" ht="15" hidden="false" customHeight="false" outlineLevel="0" collapsed="false">
      <c r="B65" s="14" t="s">
        <v>126</v>
      </c>
      <c r="C65" s="25" t="s">
        <v>127</v>
      </c>
      <c r="D65" s="25" t="s">
        <v>128</v>
      </c>
      <c r="E65" s="25" t="s">
        <v>129</v>
      </c>
      <c r="F65" s="25" t="s">
        <v>130</v>
      </c>
      <c r="G65" s="9" t="s">
        <v>131</v>
      </c>
    </row>
    <row r="66" customFormat="false" ht="22.35" hidden="false" customHeight="false" outlineLevel="0" collapsed="false">
      <c r="B66" s="14" t="s">
        <v>132</v>
      </c>
      <c r="C66" s="25" t="s">
        <v>133</v>
      </c>
      <c r="D66" s="25" t="s">
        <v>133</v>
      </c>
      <c r="E66" s="25" t="s">
        <v>133</v>
      </c>
      <c r="F66" s="25" t="s">
        <v>134</v>
      </c>
      <c r="G66" s="9" t="s">
        <v>135</v>
      </c>
    </row>
    <row r="67" customFormat="false" ht="22.35" hidden="false" customHeight="false" outlineLevel="0" collapsed="false">
      <c r="B67" s="14" t="s">
        <v>136</v>
      </c>
      <c r="C67" s="15" t="n">
        <v>1.5</v>
      </c>
      <c r="D67" s="15" t="n">
        <v>3</v>
      </c>
      <c r="E67" s="15" t="n">
        <v>15</v>
      </c>
      <c r="F67" s="15" t="n">
        <v>40</v>
      </c>
      <c r="G67" s="9" t="s">
        <v>137</v>
      </c>
    </row>
    <row r="68" customFormat="false" ht="15" hidden="false" customHeight="false" outlineLevel="0" collapsed="false">
      <c r="B68" s="14" t="s">
        <v>138</v>
      </c>
      <c r="C68" s="15" t="n">
        <v>0.5</v>
      </c>
      <c r="D68" s="15" t="n">
        <v>1</v>
      </c>
      <c r="E68" s="15" t="n">
        <v>5</v>
      </c>
      <c r="F68" s="15" t="n">
        <v>15</v>
      </c>
      <c r="G68" s="9" t="s">
        <v>139</v>
      </c>
    </row>
    <row r="69" customFormat="false" ht="15" hidden="false" customHeight="false" outlineLevel="0" collapsed="false">
      <c r="B69" s="14" t="s">
        <v>140</v>
      </c>
      <c r="C69" s="15" t="n">
        <v>0.5</v>
      </c>
      <c r="D69" s="15" t="n">
        <v>0.5</v>
      </c>
      <c r="E69" s="15" t="n">
        <v>1.5</v>
      </c>
      <c r="F69" s="15" t="n">
        <v>5</v>
      </c>
      <c r="G69" s="9" t="s">
        <v>141</v>
      </c>
    </row>
    <row r="70" customFormat="false" ht="15" hidden="false" customHeight="false" outlineLevel="0" collapsed="false">
      <c r="B70" s="14" t="s">
        <v>142</v>
      </c>
      <c r="C70" s="15" t="n">
        <v>0</v>
      </c>
      <c r="D70" s="15" t="n">
        <v>0.5</v>
      </c>
      <c r="E70" s="15" t="n">
        <v>3.5</v>
      </c>
      <c r="F70" s="15" t="n">
        <v>10</v>
      </c>
      <c r="G70" s="9" t="s">
        <v>143</v>
      </c>
    </row>
    <row r="71" customFormat="false" ht="22.35" hidden="false" customHeight="false" outlineLevel="0" collapsed="false">
      <c r="B71" s="14" t="s">
        <v>144</v>
      </c>
      <c r="C71" s="18" t="n">
        <v>0</v>
      </c>
      <c r="D71" s="18" t="n">
        <v>3</v>
      </c>
      <c r="E71" s="18" t="n">
        <v>5</v>
      </c>
      <c r="F71" s="18" t="n">
        <v>7</v>
      </c>
      <c r="G71" s="9" t="s">
        <v>145</v>
      </c>
    </row>
    <row r="72" customFormat="false" ht="22.35" hidden="false" customHeight="false" outlineLevel="0" collapsed="false">
      <c r="B72" s="14" t="s">
        <v>146</v>
      </c>
      <c r="C72" s="26" t="n">
        <f aca="false">C68/C67</f>
        <v>0.333333333333333</v>
      </c>
      <c r="D72" s="26" t="n">
        <f aca="false">D68/D67</f>
        <v>0.333333333333333</v>
      </c>
      <c r="E72" s="26" t="n">
        <f aca="false">E68/E67</f>
        <v>0.333333333333333</v>
      </c>
      <c r="F72" s="17" t="n">
        <f aca="false">F68/F67</f>
        <v>0.375</v>
      </c>
      <c r="G72" s="9" t="s">
        <v>147</v>
      </c>
    </row>
    <row r="73" customFormat="false" ht="15" hidden="false" customHeight="false" outlineLevel="0" collapsed="false">
      <c r="B73" s="14" t="s">
        <v>148</v>
      </c>
      <c r="C73" s="18" t="n">
        <v>5</v>
      </c>
      <c r="D73" s="18" t="n">
        <v>5</v>
      </c>
      <c r="E73" s="18" t="n">
        <v>5</v>
      </c>
      <c r="F73" s="18" t="n">
        <v>8</v>
      </c>
      <c r="G73" s="9" t="s">
        <v>149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14"/>
    <col collapsed="false" customWidth="true" hidden="false" outlineLevel="0" max="6" min="4" style="0" width="16"/>
    <col collapsed="false" customWidth="true" hidden="false" outlineLevel="0" max="7" min="7" style="0" width="40"/>
  </cols>
  <sheetData>
    <row r="2" customFormat="false" ht="17.35" hidden="false" customHeight="false" outlineLevel="0" collapsed="false">
      <c r="B2" s="1" t="s">
        <v>150</v>
      </c>
    </row>
    <row r="3" customFormat="false" ht="15" hidden="false" customHeight="false" outlineLevel="0" collapsed="false">
      <c r="B3" s="2" t="s">
        <v>151</v>
      </c>
    </row>
    <row r="5" customFormat="false" ht="15" hidden="false" customHeight="false" outlineLevel="0" collapsed="false">
      <c r="B5" s="27" t="s">
        <v>152</v>
      </c>
      <c r="C5" s="28" t="s">
        <v>153</v>
      </c>
      <c r="D5" s="28" t="s">
        <v>154</v>
      </c>
      <c r="E5" s="28" t="s">
        <v>155</v>
      </c>
      <c r="F5" s="28" t="s">
        <v>156</v>
      </c>
      <c r="G5" s="27" t="s">
        <v>81</v>
      </c>
    </row>
    <row r="6" customFormat="false" ht="15" hidden="false" customHeight="false" outlineLevel="0" collapsed="false">
      <c r="B6" s="5" t="s">
        <v>66</v>
      </c>
      <c r="C6" s="29" t="n">
        <f aca="false">Inputs!$C$20</f>
        <v>0.6</v>
      </c>
      <c r="D6" s="30" t="n">
        <f aca="false">Inputs!$C$20*Inputs!$C$29</f>
        <v>0.2</v>
      </c>
      <c r="E6" s="30" t="n">
        <f aca="false">Inputs!$C$20*Inputs!$C$29</f>
        <v>0.2</v>
      </c>
      <c r="F6" s="30" t="n">
        <f aca="false">Inputs!$C$20*Inputs!$C$29</f>
        <v>0.2</v>
      </c>
      <c r="G6" s="2" t="s">
        <v>157</v>
      </c>
    </row>
    <row r="7" customFormat="false" ht="22.35" hidden="false" customHeight="false" outlineLevel="0" collapsed="false">
      <c r="B7" s="14" t="s">
        <v>68</v>
      </c>
      <c r="C7" s="29" t="n">
        <f aca="false">Inputs!$C$21</f>
        <v>0.15</v>
      </c>
      <c r="D7" s="30" t="n">
        <f aca="false">Inputs!$C$21*Inputs!$C$34</f>
        <v>0.075</v>
      </c>
      <c r="E7" s="30" t="n">
        <f aca="false">Inputs!$C$21*Inputs!$D$34</f>
        <v>0.075</v>
      </c>
      <c r="F7" s="30" t="n">
        <f aca="false">Inputs!$C$21*Inputs!$E$34</f>
        <v>0.075</v>
      </c>
      <c r="G7" s="9" t="s">
        <v>158</v>
      </c>
    </row>
    <row r="8" customFormat="false" ht="22.35" hidden="false" customHeight="false" outlineLevel="0" collapsed="false">
      <c r="B8" s="14" t="s">
        <v>70</v>
      </c>
      <c r="C8" s="29" t="n">
        <f aca="false">Inputs!$C$22</f>
        <v>0.1</v>
      </c>
      <c r="D8" s="30" t="n">
        <f aca="false">Inputs!$C$22*Inputs!$C$35</f>
        <v>0.02</v>
      </c>
      <c r="E8" s="30" t="n">
        <f aca="false">Inputs!$C$22*Inputs!$D$35</f>
        <v>0.08</v>
      </c>
      <c r="F8" s="30" t="n">
        <f aca="false">Inputs!$C$22*Inputs!$E$35</f>
        <v>0.05</v>
      </c>
      <c r="G8" s="9" t="s">
        <v>159</v>
      </c>
    </row>
    <row r="9" customFormat="false" ht="22.35" hidden="false" customHeight="false" outlineLevel="0" collapsed="false">
      <c r="B9" s="14" t="s">
        <v>72</v>
      </c>
      <c r="C9" s="29" t="n">
        <f aca="false">Inputs!$C$23</f>
        <v>0.05</v>
      </c>
      <c r="D9" s="30" t="n">
        <f aca="false">Inputs!$C$23*Inputs!$C$36</f>
        <v>0.01</v>
      </c>
      <c r="E9" s="30" t="n">
        <f aca="false">Inputs!$C$23*Inputs!$D$36</f>
        <v>0.05</v>
      </c>
      <c r="F9" s="30" t="n">
        <f aca="false">Inputs!$C$23*Inputs!$E$36</f>
        <v>0.01</v>
      </c>
      <c r="G9" s="9" t="s">
        <v>160</v>
      </c>
    </row>
    <row r="10" customFormat="false" ht="15" hidden="false" customHeight="false" outlineLevel="0" collapsed="false">
      <c r="B10" s="14" t="s">
        <v>74</v>
      </c>
      <c r="C10" s="29" t="n">
        <f aca="false">Inputs!$C$24</f>
        <v>0.05</v>
      </c>
      <c r="D10" s="30" t="n">
        <f aca="false">Inputs!$C$24*Inputs!$C$37</f>
        <v>0.02</v>
      </c>
      <c r="E10" s="30" t="n">
        <f aca="false">Inputs!$C$24*Inputs!$D$37</f>
        <v>0.02</v>
      </c>
      <c r="F10" s="30" t="n">
        <f aca="false">Inputs!$C$24*Inputs!$E$37</f>
        <v>0.02</v>
      </c>
      <c r="G10" s="9" t="s">
        <v>161</v>
      </c>
    </row>
    <row r="11" customFormat="false" ht="15" hidden="false" customHeight="false" outlineLevel="0" collapsed="false">
      <c r="B11" s="14" t="s">
        <v>76</v>
      </c>
      <c r="C11" s="29" t="n">
        <f aca="false">Inputs!$C$25</f>
        <v>0.05</v>
      </c>
      <c r="D11" s="30" t="n">
        <f aca="false">Inputs!$C$25*Inputs!$C$38</f>
        <v>0</v>
      </c>
      <c r="E11" s="30" t="n">
        <f aca="false">Inputs!$C$25*Inputs!$D$38</f>
        <v>0</v>
      </c>
      <c r="F11" s="30" t="n">
        <f aca="false">Inputs!$C$25*Inputs!$E$38</f>
        <v>0</v>
      </c>
      <c r="G11" s="9" t="s">
        <v>162</v>
      </c>
    </row>
    <row r="13" customFormat="false" ht="15" hidden="false" customHeight="false" outlineLevel="0" collapsed="false">
      <c r="B13" s="8" t="s">
        <v>163</v>
      </c>
      <c r="C13" s="31" t="n">
        <f aca="false">SUM(C6:C11)</f>
        <v>1</v>
      </c>
      <c r="D13" s="31" t="n">
        <f aca="false">SUM(D6:D11)</f>
        <v>0.325</v>
      </c>
      <c r="E13" s="31" t="n">
        <f aca="false">SUM(E6:E11)</f>
        <v>0.425</v>
      </c>
      <c r="F13" s="31" t="n">
        <f aca="false">SUM(F6:F11)</f>
        <v>0.355</v>
      </c>
      <c r="G13" s="2" t="s">
        <v>164</v>
      </c>
    </row>
    <row r="15" customFormat="false" ht="15" hidden="false" customHeight="true" outlineLevel="0" collapsed="false">
      <c r="B15" s="32" t="s">
        <v>165</v>
      </c>
      <c r="C15" s="32"/>
      <c r="D15" s="32"/>
      <c r="E15" s="32"/>
      <c r="F15" s="32"/>
      <c r="G15" s="32"/>
    </row>
  </sheetData>
  <mergeCells count="1"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6" min="3" style="0" width="16"/>
  </cols>
  <sheetData>
    <row r="2" customFormat="false" ht="17.35" hidden="false" customHeight="false" outlineLevel="0" collapsed="false">
      <c r="B2" s="1" t="s">
        <v>166</v>
      </c>
    </row>
    <row r="3" customFormat="false" ht="15" hidden="false" customHeight="false" outlineLevel="0" collapsed="false">
      <c r="B3" s="2" t="s">
        <v>167</v>
      </c>
    </row>
    <row r="5" customFormat="false" ht="15" hidden="false" customHeight="false" outlineLevel="0" collapsed="false">
      <c r="B5" s="27" t="s">
        <v>168</v>
      </c>
      <c r="C5" s="28" t="s">
        <v>169</v>
      </c>
      <c r="D5" s="28" t="s">
        <v>170</v>
      </c>
      <c r="E5" s="28" t="s">
        <v>88</v>
      </c>
      <c r="F5" s="28" t="s">
        <v>44</v>
      </c>
    </row>
    <row r="6" customFormat="false" ht="15" hidden="false" customHeight="false" outlineLevel="0" collapsed="false">
      <c r="B6" s="14" t="s">
        <v>46</v>
      </c>
      <c r="C6" s="33" t="n">
        <f aca="false">Inputs!$C$7</f>
        <v>149</v>
      </c>
      <c r="D6" s="33" t="n">
        <f aca="false">Inputs!$C$7</f>
        <v>149</v>
      </c>
      <c r="E6" s="33" t="n">
        <f aca="false">Inputs!$D$7</f>
        <v>149</v>
      </c>
      <c r="F6" s="33" t="n">
        <f aca="false">Inputs!$E$7</f>
        <v>149</v>
      </c>
    </row>
    <row r="7" customFormat="false" ht="15" hidden="false" customHeight="false" outlineLevel="0" collapsed="false">
      <c r="B7" s="14" t="s">
        <v>48</v>
      </c>
      <c r="C7" s="34" t="n">
        <v>3</v>
      </c>
      <c r="D7" s="35" t="n">
        <f aca="false">Inputs!$C$8</f>
        <v>7</v>
      </c>
      <c r="E7" s="35" t="n">
        <f aca="false">Inputs!$D$8</f>
        <v>20</v>
      </c>
      <c r="F7" s="35" t="n">
        <f aca="false">Inputs!$E$8</f>
        <v>50</v>
      </c>
    </row>
    <row r="8" customFormat="false" ht="15" hidden="false" customHeight="false" outlineLevel="0" collapsed="false">
      <c r="B8" s="14" t="s">
        <v>171</v>
      </c>
      <c r="C8" s="36" t="n">
        <f aca="false">C6*C7</f>
        <v>447</v>
      </c>
      <c r="D8" s="36" t="n">
        <f aca="false">D6*D7</f>
        <v>1043</v>
      </c>
      <c r="E8" s="36" t="n">
        <f aca="false">E6*E7</f>
        <v>2980</v>
      </c>
      <c r="F8" s="36" t="n">
        <f aca="false">F6*F7</f>
        <v>7450</v>
      </c>
    </row>
    <row r="10" customFormat="false" ht="15" hidden="false" customHeight="false" outlineLevel="0" collapsed="false">
      <c r="B10" s="37" t="s">
        <v>172</v>
      </c>
      <c r="C10" s="38"/>
      <c r="D10" s="38"/>
      <c r="E10" s="38"/>
      <c r="F10" s="38"/>
    </row>
    <row r="11" customFormat="false" ht="15" hidden="false" customHeight="false" outlineLevel="0" collapsed="false">
      <c r="B11" s="14" t="s">
        <v>173</v>
      </c>
      <c r="C11" s="39" t="n">
        <f aca="false">C8*Inputs!$C$9*Inputs!$C$12</f>
        <v>33.525</v>
      </c>
      <c r="D11" s="39" t="n">
        <f aca="false">D8*Inputs!$C$9*Inputs!$C$12</f>
        <v>78.225</v>
      </c>
      <c r="E11" s="39" t="n">
        <f aca="false">E8*Inputs!$D$9*Inputs!$D$12</f>
        <v>223.5</v>
      </c>
      <c r="F11" s="39" t="n">
        <f aca="false">F8*Inputs!$E$9*Inputs!$E$12</f>
        <v>558.75</v>
      </c>
    </row>
    <row r="12" customFormat="false" ht="15" hidden="false" customHeight="false" outlineLevel="0" collapsed="false">
      <c r="B12" s="14" t="s">
        <v>174</v>
      </c>
      <c r="C12" s="39" t="n">
        <f aca="false">(C8*Inputs!$C$13-C8*Inputs!$C$10*Inputs!$C$12)*Inputs!$C$11</f>
        <v>98.34</v>
      </c>
      <c r="D12" s="39" t="n">
        <f aca="false">(D8*Inputs!$C$13-D8*Inputs!$C$10*Inputs!$C$12)*Inputs!$C$11</f>
        <v>229.46</v>
      </c>
      <c r="E12" s="39" t="n">
        <f aca="false">(E8*Inputs!$D$13-E8*Inputs!$D$10*Inputs!$D$12)*Inputs!$D$11</f>
        <v>655.6</v>
      </c>
      <c r="F12" s="39" t="n">
        <f aca="false">(F8*Inputs!$E$13-F8*Inputs!$E$10*Inputs!$E$12)*Inputs!$E$11</f>
        <v>1639</v>
      </c>
    </row>
    <row r="13" customFormat="false" ht="15" hidden="false" customHeight="false" outlineLevel="0" collapsed="false">
      <c r="B13" s="5" t="s">
        <v>175</v>
      </c>
      <c r="C13" s="40" t="n">
        <f aca="false">C11+C12</f>
        <v>131.865</v>
      </c>
      <c r="D13" s="40" t="n">
        <f aca="false">D11+D12</f>
        <v>307.685</v>
      </c>
      <c r="E13" s="40" t="n">
        <f aca="false">E11+E12</f>
        <v>879.1</v>
      </c>
      <c r="F13" s="40" t="n">
        <f aca="false">F11+F12</f>
        <v>2197.75</v>
      </c>
    </row>
    <row r="15" customFormat="false" ht="15" hidden="false" customHeight="false" outlineLevel="0" collapsed="false">
      <c r="B15" s="37" t="s">
        <v>176</v>
      </c>
      <c r="C15" s="38"/>
      <c r="D15" s="38"/>
      <c r="E15" s="38"/>
      <c r="F15" s="38"/>
    </row>
    <row r="16" customFormat="false" ht="15" hidden="false" customHeight="false" outlineLevel="0" collapsed="false">
      <c r="B16" s="14" t="s">
        <v>177</v>
      </c>
      <c r="C16" s="39" t="n">
        <f aca="false">C8*Inputs!$C$14</f>
        <v>17.88</v>
      </c>
      <c r="D16" s="39" t="n">
        <f aca="false">D8*Inputs!$C$14</f>
        <v>41.72</v>
      </c>
      <c r="E16" s="39" t="n">
        <f aca="false">E8*Inputs!$D$14</f>
        <v>119.2</v>
      </c>
      <c r="F16" s="39" t="n">
        <f aca="false">F8*Inputs!$E$14</f>
        <v>298</v>
      </c>
    </row>
    <row r="17" customFormat="false" ht="15" hidden="false" customHeight="false" outlineLevel="0" collapsed="false">
      <c r="B17" s="14" t="s">
        <v>178</v>
      </c>
      <c r="C17" s="36" t="n">
        <f aca="false">C16*(1-Inputs!$C$15)</f>
        <v>8.94</v>
      </c>
      <c r="D17" s="36" t="n">
        <f aca="false">D16*(1-Inputs!$C$15)</f>
        <v>20.86</v>
      </c>
      <c r="E17" s="36" t="n">
        <f aca="false">E16*(1-Inputs!$D$15)</f>
        <v>59.6</v>
      </c>
      <c r="F17" s="36" t="n">
        <f aca="false">F16*(1-Inputs!$E$15)</f>
        <v>149</v>
      </c>
    </row>
    <row r="19" customFormat="false" ht="15" hidden="false" customHeight="false" outlineLevel="0" collapsed="false">
      <c r="B19" s="8" t="s">
        <v>179</v>
      </c>
      <c r="C19" s="41" t="n">
        <f aca="false">C13+C17</f>
        <v>140.805</v>
      </c>
      <c r="D19" s="41" t="n">
        <f aca="false">D13+D17</f>
        <v>328.545</v>
      </c>
      <c r="E19" s="41" t="n">
        <f aca="false">E13+E17</f>
        <v>938.7</v>
      </c>
      <c r="F19" s="41" t="n">
        <f aca="false">F13+F17</f>
        <v>2346.75</v>
      </c>
    </row>
    <row r="21" customFormat="false" ht="15" hidden="false" customHeight="false" outlineLevel="0" collapsed="false">
      <c r="B21" s="37" t="s">
        <v>180</v>
      </c>
      <c r="C21" s="38"/>
      <c r="D21" s="38"/>
      <c r="E21" s="38"/>
      <c r="F21" s="38"/>
    </row>
    <row r="22" customFormat="false" ht="15" hidden="false" customHeight="false" outlineLevel="0" collapsed="false">
      <c r="B22" s="14" t="s">
        <v>181</v>
      </c>
      <c r="C22" s="29" t="n">
        <f aca="false">Matrix!$D$13</f>
        <v>0.325</v>
      </c>
      <c r="D22" s="29" t="n">
        <f aca="false">Matrix!$D$13</f>
        <v>0.325</v>
      </c>
      <c r="E22" s="29" t="n">
        <f aca="false">Matrix!$E$13</f>
        <v>0.425</v>
      </c>
      <c r="F22" s="29" t="n">
        <f aca="false">Matrix!$F$13</f>
        <v>0.355</v>
      </c>
    </row>
    <row r="23" customFormat="false" ht="15" hidden="false" customHeight="false" outlineLevel="0" collapsed="false">
      <c r="B23" s="14" t="s">
        <v>182</v>
      </c>
      <c r="C23" s="39" t="n">
        <f aca="false">C19*C22</f>
        <v>45.761625</v>
      </c>
      <c r="D23" s="39" t="n">
        <f aca="false">D19*D22</f>
        <v>106.777125</v>
      </c>
      <c r="E23" s="39" t="n">
        <f aca="false">E19*E22</f>
        <v>398.9475</v>
      </c>
      <c r="F23" s="39" t="n">
        <f aca="false">F19*F22</f>
        <v>833.09625</v>
      </c>
    </row>
    <row r="24" customFormat="false" ht="15" hidden="false" customHeight="false" outlineLevel="0" collapsed="false">
      <c r="B24" s="14" t="s">
        <v>183</v>
      </c>
      <c r="C24" s="39" t="n">
        <f aca="false">C23*Inputs!$C$60</f>
        <v>15.253875</v>
      </c>
      <c r="D24" s="39" t="n">
        <f aca="false">D23*Inputs!$C$60</f>
        <v>35.592375</v>
      </c>
      <c r="E24" s="39" t="n">
        <f aca="false">E23*Inputs!$C$60</f>
        <v>132.9825</v>
      </c>
      <c r="F24" s="42" t="s">
        <v>184</v>
      </c>
    </row>
    <row r="26" customFormat="false" ht="15" hidden="false" customHeight="false" outlineLevel="0" collapsed="false">
      <c r="B26" s="8" t="s">
        <v>185</v>
      </c>
      <c r="C26" s="43"/>
      <c r="D26" s="43"/>
      <c r="E26" s="43"/>
      <c r="F26" s="43"/>
    </row>
    <row r="27" customFormat="false" ht="15" hidden="false" customHeight="false" outlineLevel="0" collapsed="false">
      <c r="B27" s="5" t="s">
        <v>186</v>
      </c>
      <c r="C27" s="41" t="n">
        <f aca="false">C24</f>
        <v>15.253875</v>
      </c>
      <c r="D27" s="41" t="n">
        <f aca="false">D24</f>
        <v>35.592375</v>
      </c>
      <c r="E27" s="41" t="n">
        <f aca="false">E24</f>
        <v>132.9825</v>
      </c>
      <c r="F27" s="41" t="n">
        <f aca="false">F23</f>
        <v>833.09625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6" min="3" style="0" width="16"/>
  </cols>
  <sheetData>
    <row r="2" customFormat="false" ht="17.35" hidden="false" customHeight="false" outlineLevel="0" collapsed="false">
      <c r="B2" s="1" t="s">
        <v>11</v>
      </c>
    </row>
    <row r="3" customFormat="false" ht="15" hidden="false" customHeight="false" outlineLevel="0" collapsed="false">
      <c r="B3" s="2" t="s">
        <v>187</v>
      </c>
    </row>
    <row r="5" customFormat="false" ht="15" hidden="false" customHeight="false" outlineLevel="0" collapsed="false">
      <c r="B5" s="27" t="s">
        <v>188</v>
      </c>
      <c r="C5" s="28" t="s">
        <v>122</v>
      </c>
      <c r="D5" s="28" t="s">
        <v>123</v>
      </c>
      <c r="E5" s="28" t="s">
        <v>124</v>
      </c>
      <c r="F5" s="28" t="s">
        <v>125</v>
      </c>
    </row>
    <row r="6" customFormat="false" ht="15" hidden="false" customHeight="false" outlineLevel="0" collapsed="false">
      <c r="B6" s="14" t="s">
        <v>126</v>
      </c>
      <c r="C6" s="25" t="s">
        <v>189</v>
      </c>
      <c r="D6" s="25" t="s">
        <v>190</v>
      </c>
      <c r="E6" s="25" t="s">
        <v>129</v>
      </c>
      <c r="F6" s="25" t="s">
        <v>130</v>
      </c>
    </row>
    <row r="7" customFormat="false" ht="15" hidden="false" customHeight="false" outlineLevel="0" collapsed="false">
      <c r="B7" s="14" t="s">
        <v>136</v>
      </c>
      <c r="C7" s="33" t="n">
        <f aca="false">Inputs!$C$67</f>
        <v>1.5</v>
      </c>
      <c r="D7" s="33" t="n">
        <f aca="false">Inputs!$D$67</f>
        <v>3</v>
      </c>
      <c r="E7" s="33" t="n">
        <f aca="false">Inputs!$E$67</f>
        <v>15</v>
      </c>
      <c r="F7" s="33" t="n">
        <f aca="false">Inputs!$F$67</f>
        <v>40</v>
      </c>
    </row>
    <row r="8" customFormat="false" ht="15" hidden="false" customHeight="false" outlineLevel="0" collapsed="false">
      <c r="B8" s="14" t="s">
        <v>146</v>
      </c>
      <c r="C8" s="29" t="n">
        <f aca="false">Inputs!$C$72</f>
        <v>0.333333333333333</v>
      </c>
      <c r="D8" s="29" t="n">
        <f aca="false">Inputs!$D$72</f>
        <v>0.333333333333333</v>
      </c>
      <c r="E8" s="29" t="n">
        <f aca="false">Inputs!$E$72</f>
        <v>0.333333333333333</v>
      </c>
      <c r="F8" s="29" t="n">
        <f aca="false">Inputs!$F$72</f>
        <v>0.375</v>
      </c>
    </row>
    <row r="10" customFormat="false" ht="15" hidden="false" customHeight="false" outlineLevel="0" collapsed="false">
      <c r="B10" s="37" t="s">
        <v>191</v>
      </c>
      <c r="C10" s="38"/>
      <c r="D10" s="38"/>
      <c r="E10" s="38"/>
      <c r="F10" s="38"/>
    </row>
    <row r="11" customFormat="false" ht="15" hidden="false" customHeight="false" outlineLevel="0" collapsed="false">
      <c r="B11" s="14" t="s">
        <v>192</v>
      </c>
      <c r="C11" s="39" t="n">
        <f aca="false">'GP Economics'!$C$27</f>
        <v>15.253875</v>
      </c>
      <c r="D11" s="39" t="n">
        <f aca="false">'GP Economics'!$D$27</f>
        <v>35.592375</v>
      </c>
      <c r="E11" s="39" t="n">
        <f aca="false">'GP Economics'!$D$27+'GP Economics'!$E$27</f>
        <v>168.574875</v>
      </c>
      <c r="F11" s="39" t="n">
        <f aca="false">'GP Economics'!$D$27+'GP Economics'!$E$27+'GP Economics'!$F$27+Inputs!$C$61</f>
        <v>1031.671125</v>
      </c>
    </row>
    <row r="12" customFormat="false" ht="15" hidden="false" customHeight="false" outlineLevel="0" collapsed="false">
      <c r="B12" s="14" t="s">
        <v>193</v>
      </c>
      <c r="C12" s="39" t="n">
        <f aca="false">C11*C8</f>
        <v>5.084625</v>
      </c>
      <c r="D12" s="39" t="n">
        <f aca="false">D11*D8</f>
        <v>11.864125</v>
      </c>
      <c r="E12" s="39" t="n">
        <f aca="false">E11*E8</f>
        <v>56.191625</v>
      </c>
      <c r="F12" s="39" t="n">
        <f aca="false">F11*F8</f>
        <v>386.876671875</v>
      </c>
    </row>
    <row r="13" customFormat="false" ht="15" hidden="false" customHeight="false" outlineLevel="0" collapsed="false">
      <c r="B13" s="14" t="s">
        <v>194</v>
      </c>
      <c r="C13" s="33" t="n">
        <f aca="false">Inputs!$C$68</f>
        <v>0.5</v>
      </c>
      <c r="D13" s="33" t="n">
        <f aca="false">Inputs!$D$68</f>
        <v>1</v>
      </c>
      <c r="E13" s="33" t="n">
        <f aca="false">Inputs!$E$68</f>
        <v>5</v>
      </c>
      <c r="F13" s="33" t="n">
        <f aca="false">Inputs!$F$68</f>
        <v>15</v>
      </c>
    </row>
    <row r="14" customFormat="false" ht="15" hidden="false" customHeight="false" outlineLevel="0" collapsed="false">
      <c r="B14" s="14" t="s">
        <v>195</v>
      </c>
      <c r="C14" s="39" t="n">
        <f aca="false">C12-C13</f>
        <v>4.584625</v>
      </c>
      <c r="D14" s="39" t="n">
        <f aca="false">D12-D13</f>
        <v>10.864125</v>
      </c>
      <c r="E14" s="39" t="n">
        <f aca="false">E12-E13</f>
        <v>51.191625</v>
      </c>
      <c r="F14" s="39" t="n">
        <f aca="false">F12-F13</f>
        <v>371.876671875</v>
      </c>
    </row>
    <row r="15" customFormat="false" ht="15" hidden="false" customHeight="false" outlineLevel="0" collapsed="false">
      <c r="B15" s="14" t="s">
        <v>140</v>
      </c>
      <c r="C15" s="33" t="n">
        <f aca="false">Inputs!$C$69</f>
        <v>0.5</v>
      </c>
      <c r="D15" s="33" t="n">
        <f aca="false">Inputs!$D$69</f>
        <v>0.5</v>
      </c>
      <c r="E15" s="33" t="n">
        <f aca="false">Inputs!$E$69</f>
        <v>1.5</v>
      </c>
      <c r="F15" s="33" t="n">
        <f aca="false">Inputs!$F$69</f>
        <v>5</v>
      </c>
    </row>
    <row r="16" customFormat="false" ht="15" hidden="false" customHeight="false" outlineLevel="0" collapsed="false">
      <c r="B16" s="14" t="s">
        <v>196</v>
      </c>
      <c r="C16" s="44" t="n">
        <f aca="false">Inputs!$C$73</f>
        <v>5</v>
      </c>
      <c r="D16" s="44" t="n">
        <f aca="false">Inputs!$D$73</f>
        <v>5</v>
      </c>
      <c r="E16" s="44" t="n">
        <f aca="false">Inputs!$E$73</f>
        <v>5</v>
      </c>
      <c r="F16" s="44" t="n">
        <f aca="false">Inputs!$F$73</f>
        <v>8</v>
      </c>
    </row>
    <row r="17" customFormat="false" ht="15" hidden="false" customHeight="false" outlineLevel="0" collapsed="false">
      <c r="B17" s="8" t="s">
        <v>197</v>
      </c>
      <c r="C17" s="31" t="n">
        <f aca="false">(C14/C15)^(1/C16)-1</f>
        <v>0.557638821826972</v>
      </c>
      <c r="D17" s="31" t="n">
        <f aca="false">(D14/D15)^(1/D16)-1</f>
        <v>0.850993739648829</v>
      </c>
      <c r="E17" s="31" t="n">
        <f aca="false">(E14/E15)^(1/E16)-1</f>
        <v>1.02591645240272</v>
      </c>
      <c r="F17" s="31" t="n">
        <f aca="false">(F14/F15)^(1/F16)-1</f>
        <v>0.713675612975094</v>
      </c>
    </row>
    <row r="19" customFormat="false" ht="15" hidden="false" customHeight="false" outlineLevel="0" collapsed="false">
      <c r="B19" s="37" t="s">
        <v>198</v>
      </c>
      <c r="C19" s="38"/>
      <c r="D19" s="38"/>
      <c r="E19" s="38"/>
      <c r="F19" s="38"/>
    </row>
    <row r="20" customFormat="false" ht="15" hidden="false" customHeight="false" outlineLevel="0" collapsed="false">
      <c r="B20" s="14" t="s">
        <v>199</v>
      </c>
      <c r="C20" s="39" t="n">
        <f aca="false">'GP Economics'!$C$27*Inputs!$C$41</f>
        <v>13.7284875</v>
      </c>
      <c r="D20" s="39" t="n">
        <f aca="false">'GP Economics'!$C$27*Inputs!$C$41+('GP Economics'!$D$27-'GP Economics'!$C$27)*Inputs!$C$42</f>
        <v>28.9823625</v>
      </c>
      <c r="E20" s="39" t="n">
        <f aca="false">'GP Economics'!$C$27*Inputs!$C$41+('GP Economics'!$D$27-'GP Economics'!$C$27)*Inputs!$C$42+'GP Economics'!$E$27*Inputs!$C$43</f>
        <v>74.1964125</v>
      </c>
      <c r="F20" s="39" t="n">
        <f aca="false">'GP Economics'!$C$27*Inputs!$C$41+('GP Economics'!$D$27-'GP Economics'!$C$27)*Inputs!$C$42+'GP Economics'!$E$27*Inputs!$C$43+'GP Economics'!$F$27*Inputs!$C$44+Inputs!$C$61*Inputs!$C$45</f>
        <v>303.470475</v>
      </c>
    </row>
    <row r="21" customFormat="false" ht="15" hidden="false" customHeight="false" outlineLevel="0" collapsed="false">
      <c r="B21" s="14" t="s">
        <v>200</v>
      </c>
      <c r="C21" s="39" t="n">
        <f aca="false">C20*C8</f>
        <v>4.5761625</v>
      </c>
      <c r="D21" s="39" t="n">
        <f aca="false">D20*D8</f>
        <v>9.6607875</v>
      </c>
      <c r="E21" s="39" t="n">
        <f aca="false">E20*E8</f>
        <v>24.7321375</v>
      </c>
      <c r="F21" s="39" t="n">
        <f aca="false">F20*F8</f>
        <v>113.801428125</v>
      </c>
    </row>
    <row r="22" customFormat="false" ht="15" hidden="false" customHeight="false" outlineLevel="0" collapsed="false">
      <c r="B22" s="14" t="s">
        <v>201</v>
      </c>
      <c r="C22" s="39" t="n">
        <f aca="false">C21-C13</f>
        <v>4.0761625</v>
      </c>
      <c r="D22" s="39" t="n">
        <f aca="false">D21-D13</f>
        <v>8.6607875</v>
      </c>
      <c r="E22" s="39" t="n">
        <f aca="false">E21-E13</f>
        <v>19.7321375</v>
      </c>
      <c r="F22" s="39" t="n">
        <f aca="false">F21-F13</f>
        <v>98.801428125</v>
      </c>
    </row>
    <row r="23" customFormat="false" ht="15" hidden="false" customHeight="false" outlineLevel="0" collapsed="false">
      <c r="B23" s="8" t="s">
        <v>202</v>
      </c>
      <c r="C23" s="31" t="n">
        <f aca="false">IFERROR((C22/C15)^(1/C16)-1,0)</f>
        <v>0.521445139006364</v>
      </c>
      <c r="D23" s="31" t="n">
        <f aca="false">IFERROR((D22/D15)^(1/D16)-1,0)</f>
        <v>0.768957812841439</v>
      </c>
      <c r="E23" s="31" t="n">
        <f aca="false">IFERROR((E22/E15)^(1/E16)-1,0)</f>
        <v>0.674235609740841</v>
      </c>
      <c r="F23" s="31" t="n">
        <f aca="false">IFERROR((F22/F15)^(1/F16)-1,0)</f>
        <v>0.452025195268306</v>
      </c>
    </row>
    <row r="25" customFormat="false" ht="15" hidden="false" customHeight="false" outlineLevel="0" collapsed="false">
      <c r="B25" s="37" t="s">
        <v>203</v>
      </c>
      <c r="C25" s="38"/>
      <c r="D25" s="38"/>
      <c r="E25" s="38"/>
      <c r="F25" s="38"/>
    </row>
    <row r="26" customFormat="false" ht="15" hidden="false" customHeight="false" outlineLevel="0" collapsed="false">
      <c r="B26" s="14" t="s">
        <v>204</v>
      </c>
      <c r="C26" s="40" t="n">
        <f aca="false">'GP Economics'!$C$27*Inputs!$C$41/(1+Inputs!$C$48)^Inputs!$C$54</f>
        <v>9.02670337798965</v>
      </c>
      <c r="D26" s="40" t="n">
        <f aca="false">'GP Economics'!$C$27*Inputs!$C$41/(1+Inputs!$C$48)^Inputs!$C$54+('GP Economics'!$D$27-'GP Economics'!$C$27)*Inputs!$C$42/(1+Inputs!$C$48)^Inputs!$C$54</f>
        <v>19.0563737979781</v>
      </c>
      <c r="E26" s="40" t="n">
        <f aca="false">'GP Economics'!$C$27*Inputs!$C$41/(1+Inputs!$C$48)^Inputs!$C$54+('GP Economics'!$D$27-'GP Economics'!$C$27)*Inputs!$C$42/(1+Inputs!$C$48)^Inputs!$C$54+'GP Economics'!$E$27*Inputs!$C$43/(1+Inputs!$C$49)^Inputs!$C$55</f>
        <v>42.3772777885418</v>
      </c>
      <c r="F26" s="40" t="n">
        <f aca="false">'GP Economics'!$C$27*Inputs!$C$41/(1+Inputs!$C$48)^Inputs!$C$54+('GP Economics'!$D$27-'GP Economics'!$C$27)*Inputs!$C$42/(1+Inputs!$C$48)^Inputs!$C$54+'GP Economics'!$E$27*Inputs!$C$43/(1+Inputs!$C$49)^Inputs!$C$55+'GP Economics'!$F$27*Inputs!$C$44/(1+Inputs!$C$50)^Inputs!$C$56+Inputs!$C$61*Inputs!$C$45/(1+Inputs!$C$51)^Inputs!$C$57</f>
        <v>107.102388443357</v>
      </c>
    </row>
    <row r="27" customFormat="false" ht="15" hidden="false" customHeight="false" outlineLevel="0" collapsed="false">
      <c r="B27" s="14" t="s">
        <v>205</v>
      </c>
      <c r="C27" s="45" t="n">
        <f aca="false">C7/C26</f>
        <v>0.166173622549461</v>
      </c>
      <c r="D27" s="45" t="n">
        <f aca="false">D7/D26</f>
        <v>0.157427642415279</v>
      </c>
      <c r="E27" s="45" t="n">
        <f aca="false">E7/E26</f>
        <v>0.353963274253916</v>
      </c>
      <c r="F27" s="45" t="n">
        <f aca="false">F7/F26</f>
        <v>0.373474397549546</v>
      </c>
    </row>
    <row r="28" customFormat="false" ht="15" hidden="false" customHeight="false" outlineLevel="0" collapsed="false">
      <c r="B28" s="14" t="s">
        <v>206</v>
      </c>
      <c r="C28" s="46" t="str">
        <f aca="false">IF(C27&gt;=0.6,"Established GP stake (60-80%)",IF(C27&gt;=0.4,"Emerging manager (40-60%)",IF(C27&gt;=0.2,"Alignment-priced (20-40%)","Below alignment floor (&lt;20%)")))</f>
        <v>Below alignment floor (&lt;20%)</v>
      </c>
      <c r="D28" s="46" t="str">
        <f aca="false">IF(D27&gt;=0.6,"Established GP stake (60-80%)",IF(D27&gt;=0.4,"Emerging manager (40-60%)",IF(D27&gt;=0.2,"Alignment-priced (20-40%)","Below alignment floor (&lt;20%)")))</f>
        <v>Below alignment floor (&lt;20%)</v>
      </c>
      <c r="E28" s="46" t="str">
        <f aca="false">IF(E27&gt;=0.6,"Established GP stake (60-80%)",IF(E27&gt;=0.4,"Emerging manager (40-60%)",IF(E27&gt;=0.2,"Alignment-priced (20-40%)","Below alignment floor (&lt;20%)")))</f>
        <v>Alignment-priced (20-40%)</v>
      </c>
      <c r="F28" s="46" t="str">
        <f aca="false">IF(F27&gt;=0.6,"Established GP stake (60-80%)",IF(F27&gt;=0.4,"Emerging manager (40-60%)",IF(F27&gt;=0.2,"Alignment-priced (20-40%)","Below alignment floor (&lt;20%)")))</f>
        <v>Alignment-priced (20-40%)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</cols>
  <sheetData>
    <row r="2" customFormat="false" ht="17.35" hidden="false" customHeight="false" outlineLevel="0" collapsed="false">
      <c r="B2" s="1" t="s">
        <v>207</v>
      </c>
    </row>
    <row r="3" customFormat="false" ht="15" hidden="false" customHeight="false" outlineLevel="0" collapsed="false">
      <c r="B3" s="2" t="s">
        <v>208</v>
      </c>
    </row>
    <row r="5" customFormat="false" ht="15" hidden="false" customHeight="false" outlineLevel="0" collapsed="false">
      <c r="B5" s="10" t="s">
        <v>209</v>
      </c>
      <c r="C5" s="11"/>
      <c r="D5" s="11"/>
      <c r="E5" s="11"/>
      <c r="F5" s="11"/>
    </row>
    <row r="6" customFormat="false" ht="15" hidden="false" customHeight="false" outlineLevel="0" collapsed="false">
      <c r="B6" s="12" t="s">
        <v>210</v>
      </c>
      <c r="C6" s="13" t="s">
        <v>122</v>
      </c>
      <c r="D6" s="13" t="s">
        <v>123</v>
      </c>
      <c r="E6" s="13" t="s">
        <v>124</v>
      </c>
      <c r="F6" s="13" t="s">
        <v>125</v>
      </c>
    </row>
    <row r="7" customFormat="false" ht="15" hidden="false" customHeight="false" outlineLevel="0" collapsed="false">
      <c r="B7" s="14" t="s">
        <v>211</v>
      </c>
      <c r="C7" s="17" t="n">
        <v>0.3</v>
      </c>
      <c r="D7" s="17" t="n">
        <v>0.42</v>
      </c>
      <c r="E7" s="17" t="n">
        <v>0.52</v>
      </c>
      <c r="F7" s="17" t="n">
        <v>0.31</v>
      </c>
    </row>
    <row r="8" customFormat="false" ht="15" hidden="false" customHeight="false" outlineLevel="0" collapsed="false">
      <c r="B8" s="14" t="s">
        <v>212</v>
      </c>
      <c r="C8" s="17" t="n">
        <v>0.39</v>
      </c>
      <c r="D8" s="17" t="n">
        <v>0.55</v>
      </c>
      <c r="E8" s="17" t="n">
        <v>0.66</v>
      </c>
      <c r="F8" s="17" t="n">
        <v>0.4</v>
      </c>
    </row>
    <row r="9" customFormat="false" ht="15" hidden="false" customHeight="false" outlineLevel="0" collapsed="false">
      <c r="B9" s="14" t="s">
        <v>213</v>
      </c>
      <c r="C9" s="17" t="n">
        <v>0.56</v>
      </c>
      <c r="D9" s="17" t="n">
        <v>0.86</v>
      </c>
      <c r="E9" s="17" t="n">
        <v>1.03</v>
      </c>
      <c r="F9" s="17" t="n">
        <v>0.66</v>
      </c>
    </row>
    <row r="10" customFormat="false" ht="15" hidden="false" customHeight="false" outlineLevel="0" collapsed="false">
      <c r="B10" s="14" t="s">
        <v>214</v>
      </c>
      <c r="C10" s="17" t="n">
        <v>0.69</v>
      </c>
      <c r="D10" s="17" t="n">
        <v>1.07</v>
      </c>
      <c r="E10" s="17" t="n">
        <v>1.27</v>
      </c>
      <c r="F10" s="17" t="n">
        <v>0.83</v>
      </c>
    </row>
    <row r="11" customFormat="false" ht="15" hidden="false" customHeight="false" outlineLevel="0" collapsed="false">
      <c r="B11" s="14" t="s">
        <v>215</v>
      </c>
      <c r="C11" s="17" t="n">
        <v>0.8</v>
      </c>
      <c r="D11" s="17" t="n">
        <v>1.25</v>
      </c>
      <c r="E11" s="17" t="n">
        <v>1.49</v>
      </c>
      <c r="F11" s="17" t="n">
        <v>0.97</v>
      </c>
    </row>
    <row r="12" customFormat="false" ht="15" hidden="false" customHeight="false" outlineLevel="0" collapsed="false">
      <c r="B12" s="14" t="s">
        <v>216</v>
      </c>
      <c r="C12" s="17" t="n">
        <v>0.89</v>
      </c>
      <c r="D12" s="17" t="n">
        <v>1.39</v>
      </c>
      <c r="E12" s="17" t="n">
        <v>1.66</v>
      </c>
      <c r="F12" s="17" t="n">
        <v>1.08</v>
      </c>
    </row>
    <row r="13" customFormat="false" ht="15" hidden="false" customHeight="false" outlineLevel="0" collapsed="false">
      <c r="B13" s="47" t="s">
        <v>217</v>
      </c>
      <c r="C13" s="47"/>
      <c r="D13" s="47"/>
      <c r="E13" s="47"/>
      <c r="F13" s="47"/>
    </row>
    <row r="16" customFormat="false" ht="15" hidden="false" customHeight="false" outlineLevel="0" collapsed="false">
      <c r="B16" s="10" t="s">
        <v>218</v>
      </c>
      <c r="C16" s="11"/>
      <c r="D16" s="11"/>
      <c r="E16" s="11"/>
      <c r="F16" s="11"/>
    </row>
    <row r="17" customFormat="false" ht="15" hidden="false" customHeight="false" outlineLevel="0" collapsed="false">
      <c r="B17" s="12" t="s">
        <v>219</v>
      </c>
      <c r="C17" s="13" t="s">
        <v>220</v>
      </c>
      <c r="D17" s="13" t="s">
        <v>221</v>
      </c>
      <c r="E17" s="13" t="s">
        <v>222</v>
      </c>
      <c r="F17" s="13" t="s">
        <v>223</v>
      </c>
    </row>
    <row r="18" customFormat="false" ht="15" hidden="false" customHeight="false" outlineLevel="0" collapsed="false">
      <c r="B18" s="14" t="s">
        <v>224</v>
      </c>
      <c r="C18" s="17" t="n">
        <v>0.51</v>
      </c>
      <c r="D18" s="17" t="n">
        <v>0.78</v>
      </c>
      <c r="E18" s="17" t="n">
        <v>0.46</v>
      </c>
      <c r="F18" s="17" t="n">
        <v>0.3</v>
      </c>
    </row>
    <row r="19" customFormat="false" ht="15" hidden="false" customHeight="false" outlineLevel="0" collapsed="false">
      <c r="B19" s="14" t="s">
        <v>225</v>
      </c>
      <c r="C19" s="17" t="n">
        <v>0.51</v>
      </c>
      <c r="D19" s="17" t="n">
        <v>0.78</v>
      </c>
      <c r="E19" s="17" t="n">
        <v>0.66</v>
      </c>
      <c r="F19" s="17" t="n">
        <v>0.39</v>
      </c>
    </row>
    <row r="20" customFormat="false" ht="15" hidden="false" customHeight="false" outlineLevel="0" collapsed="false">
      <c r="B20" s="14" t="s">
        <v>226</v>
      </c>
      <c r="C20" s="17" t="n">
        <v>0.51</v>
      </c>
      <c r="D20" s="17" t="n">
        <v>0.78</v>
      </c>
      <c r="E20" s="17" t="n">
        <v>0.82</v>
      </c>
      <c r="F20" s="17" t="n">
        <v>0.46</v>
      </c>
    </row>
    <row r="21" customFormat="false" ht="15" hidden="false" customHeight="false" outlineLevel="0" collapsed="false">
      <c r="B21" s="14" t="s">
        <v>227</v>
      </c>
      <c r="C21" s="17" t="n">
        <v>0.51</v>
      </c>
      <c r="D21" s="17" t="n">
        <v>0.78</v>
      </c>
      <c r="E21" s="17" t="n">
        <v>0.97</v>
      </c>
      <c r="F21" s="17" t="n">
        <v>0.53</v>
      </c>
    </row>
    <row r="22" customFormat="false" ht="15" hidden="false" customHeight="false" outlineLevel="0" collapsed="false">
      <c r="B22" s="14" t="s">
        <v>228</v>
      </c>
      <c r="C22" s="17" t="n">
        <v>0.51</v>
      </c>
      <c r="D22" s="17" t="n">
        <v>0.78</v>
      </c>
      <c r="E22" s="17" t="n">
        <v>1.08</v>
      </c>
      <c r="F22" s="17" t="n">
        <v>0.59</v>
      </c>
    </row>
  </sheetData>
  <mergeCells count="1">
    <mergeCell ref="B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2026-05-22T13:30:41Z</dcterms:created>
  <dc:creator>openpyxl</dc:creator>
  <dc:description/>
  <dc:language>en-US</dc:language>
  <cp:lastModifiedBy/>
  <dcterms:modified xsi:type="dcterms:W3CDTF">2026-05-22T13:30:41Z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